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96" windowWidth="12120" windowHeight="8280" activeTab="0"/>
  </bookViews>
  <sheets>
    <sheet name="Gesamtkosten" sheetId="1" r:id="rId1"/>
    <sheet name="Arbeit" sheetId="2" r:id="rId2"/>
    <sheet name="Lagerraum" sheetId="3" r:id="rId3"/>
    <sheet name="Kapital" sheetId="4" r:id="rId4"/>
    <sheet name="Material" sheetId="5" r:id="rId5"/>
  </sheets>
  <definedNames/>
  <calcPr fullCalcOnLoad="1"/>
</workbook>
</file>

<file path=xl/comments1.xml><?xml version="1.0" encoding="utf-8"?>
<comments xmlns="http://schemas.openxmlformats.org/spreadsheetml/2006/main">
  <authors>
    <author>HuberG</author>
  </authors>
  <commentList>
    <comment ref="A44" authorId="0">
      <text>
        <r>
          <rPr>
            <b/>
            <sz val="8"/>
            <rFont val="Tahoma"/>
            <family val="0"/>
          </rPr>
          <t>siehe Zelle
E25 bzw
F25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Siehe Arbeitsblatt Kapital
bei Geräte v.M.
.K.</t>
        </r>
      </text>
    </comment>
  </commentList>
</comments>
</file>

<file path=xl/comments2.xml><?xml version="1.0" encoding="utf-8"?>
<comments xmlns="http://schemas.openxmlformats.org/spreadsheetml/2006/main">
  <authors>
    <author>HuberG</author>
  </authors>
  <commentList>
    <comment ref="C5" authorId="0">
      <text>
        <r>
          <rPr>
            <b/>
            <sz val="8"/>
            <rFont val="Tahoma"/>
            <family val="0"/>
          </rPr>
          <t>Summe von Tabelle darunter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Summe von Tabelle darunter</t>
        </r>
      </text>
    </comment>
  </commentList>
</comments>
</file>

<file path=xl/comments3.xml><?xml version="1.0" encoding="utf-8"?>
<comments xmlns="http://schemas.openxmlformats.org/spreadsheetml/2006/main">
  <authors>
    <author>HuberG</author>
  </authors>
  <commentList>
    <comment ref="F8" authorId="0">
      <text>
        <r>
          <rPr>
            <b/>
            <sz val="8"/>
            <rFont val="Tahoma"/>
            <family val="0"/>
          </rPr>
          <t xml:space="preserve">Siehe Zelle H138 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siehe Zelle
H44</t>
        </r>
        <r>
          <rPr>
            <sz val="8"/>
            <rFont val="Tahoma"/>
            <family val="0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0"/>
          </rPr>
          <t>mit Kühltaschen</t>
        </r>
        <r>
          <rPr>
            <sz val="8"/>
            <rFont val="Tahoma"/>
            <family val="0"/>
          </rPr>
          <t xml:space="preserve">
</t>
        </r>
      </text>
    </comment>
    <comment ref="J39" authorId="0">
      <text>
        <r>
          <rPr>
            <b/>
            <sz val="8"/>
            <rFont val="Tahoma"/>
            <family val="0"/>
          </rPr>
          <t>mit Kühltaschen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HuberG</author>
  </authors>
  <commentList>
    <comment ref="I1" authorId="0">
      <text>
        <r>
          <rPr>
            <b/>
            <sz val="8"/>
            <rFont val="Tahoma"/>
            <family val="0"/>
          </rPr>
          <t>siehe 1 Blatt"Gesamtkosten"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HuberG</author>
  </authors>
  <commentList>
    <comment ref="E31" authorId="0">
      <text>
        <r>
          <rPr>
            <b/>
            <sz val="8"/>
            <rFont val="Tahoma"/>
            <family val="0"/>
          </rPr>
          <t>siehe Kapital (Arbeitsblatt)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<sst xmlns="http://schemas.openxmlformats.org/spreadsheetml/2006/main" count="408" uniqueCount="301">
  <si>
    <t xml:space="preserve">Kosten je l Wein </t>
  </si>
  <si>
    <t>Bemerkungen:</t>
  </si>
  <si>
    <t>Allgemeine wichtige Daten</t>
  </si>
  <si>
    <t>einfache und schnelle Kalkulationsrechnung für jede Betriebsgröße</t>
  </si>
  <si>
    <t>Betriebsgröße</t>
  </si>
  <si>
    <t>ha</t>
  </si>
  <si>
    <t>nur rotgeschriebene Zellen veränderbar/Werte überprüfen/ändern!</t>
  </si>
  <si>
    <t>Stundenlohn</t>
  </si>
  <si>
    <t xml:space="preserve">  (auch löschbar;besser 0 einsetzen)</t>
  </si>
  <si>
    <t>Stundenlohn Aushilfe</t>
  </si>
  <si>
    <t>andere Zellen geschützt wegen Berechnung/Formeln!</t>
  </si>
  <si>
    <t>Hektarertrag max.</t>
  </si>
  <si>
    <t>kg/ha Trauben ( 1,32kg=1 l Wein n.anger.)</t>
  </si>
  <si>
    <t>In Blatt Lagerraum blaue Zahlen Zielvorgaben,</t>
  </si>
  <si>
    <t>max.</t>
  </si>
  <si>
    <t>hl/ ha Wein</t>
  </si>
  <si>
    <t xml:space="preserve">  dort Anzahl Fässer und Tank ändern bis ähnliche Größe in der Summe erreicht wird!</t>
  </si>
  <si>
    <t>Ausbeute:</t>
  </si>
  <si>
    <t xml:space="preserve"> kg= 1l Liter Wein</t>
  </si>
  <si>
    <t>Betriebserzeugung</t>
  </si>
  <si>
    <t>l Wein</t>
  </si>
  <si>
    <t>Lagerkapazität 2 Ernten</t>
  </si>
  <si>
    <t>Zinssatz:</t>
  </si>
  <si>
    <t>%</t>
  </si>
  <si>
    <t>Reparaturk.Holzfaß:</t>
  </si>
  <si>
    <t>Reparaturk.Edelst.Behälter:</t>
  </si>
  <si>
    <t>Kosten für 1000 l Wein (ohne Traubenerzeugungskosten)</t>
  </si>
  <si>
    <t>0,75 l Fl.</t>
  </si>
  <si>
    <t>1,0 l Flasche</t>
  </si>
  <si>
    <t>Arbeitskosten</t>
  </si>
  <si>
    <t>Materialkosten Weinausbau</t>
  </si>
  <si>
    <t>Materialkosten Ausstattung</t>
  </si>
  <si>
    <t>Unterhaltungskosten</t>
  </si>
  <si>
    <t>Kapitalkosten Maschinen</t>
  </si>
  <si>
    <t>Kapitalkosten Lager</t>
  </si>
  <si>
    <t>Kapitalkosten, Gebäude</t>
  </si>
  <si>
    <t>Sonstige Kosten (geschätzt)</t>
  </si>
  <si>
    <t>Summe je 1000 l Wein</t>
  </si>
  <si>
    <t>Kosten je Liter je Flasche für Traubenerzeugungs-, Weinausbau-, Abfüllungs-, Ausstattung- und Vertriebskosten</t>
  </si>
  <si>
    <t xml:space="preserve">Traubenpreis </t>
  </si>
  <si>
    <t>Kosten der Trauben</t>
  </si>
  <si>
    <t>für die 1,0 l Flasche</t>
  </si>
  <si>
    <t>Weinausbaukosten incl.Vertrieb</t>
  </si>
  <si>
    <t>für die 0,75 l Flasche</t>
  </si>
  <si>
    <t>Arbeitskosten je 1000 l Wein</t>
  </si>
  <si>
    <t>Arbeitszeitbedarf</t>
  </si>
  <si>
    <t>Lohnansatz</t>
  </si>
  <si>
    <t>AKh/1000 l</t>
  </si>
  <si>
    <t>Keltern und Weinausbau</t>
  </si>
  <si>
    <t>Flaschenreinigung +</t>
  </si>
  <si>
    <t>Abfüllung +</t>
  </si>
  <si>
    <t>Etikettierung</t>
  </si>
  <si>
    <t>Verpackung in Karton</t>
  </si>
  <si>
    <t>Vertrieb mit eigenem KFZ</t>
  </si>
  <si>
    <t>im Umkreis von 200 km</t>
  </si>
  <si>
    <t>Leergutrücknahme</t>
  </si>
  <si>
    <t>Arbeitsaufwand/Kosten</t>
  </si>
  <si>
    <t>je ltr Wein</t>
  </si>
  <si>
    <t>je Flasche</t>
  </si>
  <si>
    <t>Kapitalkosten</t>
  </si>
  <si>
    <t>ha Betrieb</t>
  </si>
  <si>
    <t>Lagerkap. l:</t>
  </si>
  <si>
    <t>Gebäudekosten</t>
  </si>
  <si>
    <t>Ffläche</t>
  </si>
  <si>
    <t>Höhe</t>
  </si>
  <si>
    <t>Baupreis</t>
  </si>
  <si>
    <t>m²</t>
  </si>
  <si>
    <t>m</t>
  </si>
  <si>
    <t>m³</t>
  </si>
  <si>
    <r>
      <t>Mehrzweckraum</t>
    </r>
    <r>
      <rPr>
        <sz val="10"/>
        <rFont val="Arial"/>
        <family val="0"/>
      </rPr>
      <t xml:space="preserve"> (Kelter, Etikettierraum</t>
    </r>
  </si>
  <si>
    <t>und Flaschenreinigungsgeräte)</t>
  </si>
  <si>
    <t>Weinlager ( 2 Ernten)</t>
  </si>
  <si>
    <t>Behälteranz.</t>
  </si>
  <si>
    <t>m²/1000 l</t>
  </si>
  <si>
    <t xml:space="preserve"> </t>
  </si>
  <si>
    <t>%Holz</t>
  </si>
  <si>
    <t>(JE1000L)</t>
  </si>
  <si>
    <t>%Tank</t>
  </si>
  <si>
    <t>(JE5000L)</t>
  </si>
  <si>
    <t>Flaschenlager</t>
  </si>
  <si>
    <t>(1,5 Ernten)</t>
  </si>
  <si>
    <t>Boxpaletten</t>
  </si>
  <si>
    <t>Lagerm. l:</t>
  </si>
  <si>
    <t>m²/1000 Fl.</t>
  </si>
  <si>
    <t>%    0,75Fl.</t>
  </si>
  <si>
    <t>Flaschen:</t>
  </si>
  <si>
    <t>%    1,0  Fl.</t>
  </si>
  <si>
    <t>Verkaufsraum</t>
  </si>
  <si>
    <t>Verpackungsraum</t>
  </si>
  <si>
    <t>Büro?</t>
  </si>
  <si>
    <t>Sanitäreinrichtungen?</t>
  </si>
  <si>
    <t>Summe</t>
  </si>
  <si>
    <t>Behälter:</t>
  </si>
  <si>
    <t>Anzahl</t>
  </si>
  <si>
    <t>Inhalt</t>
  </si>
  <si>
    <t>insgesamt</t>
  </si>
  <si>
    <t>m² ges.</t>
  </si>
  <si>
    <t>Behälter</t>
  </si>
  <si>
    <t>Holzfaß</t>
  </si>
  <si>
    <t>Ziel l :</t>
  </si>
  <si>
    <t>Edelstahl-Tank</t>
  </si>
  <si>
    <t>L.Kapazität</t>
  </si>
  <si>
    <t>Gesamtpreis</t>
  </si>
  <si>
    <t>N</t>
  </si>
  <si>
    <t>Afa</t>
  </si>
  <si>
    <t>Zins</t>
  </si>
  <si>
    <t>Reparaturk.</t>
  </si>
  <si>
    <t>Gebäude, Räume u.a.</t>
  </si>
  <si>
    <t>Afa/Zins/gr.Rep./Jahr</t>
  </si>
  <si>
    <t>Lager</t>
  </si>
  <si>
    <t>Literpreis</t>
  </si>
  <si>
    <t>Behälterart.</t>
  </si>
  <si>
    <t>l</t>
  </si>
  <si>
    <t>Jahre</t>
  </si>
  <si>
    <t>Edelstahl</t>
  </si>
  <si>
    <t>Maschinen und Geräte:</t>
  </si>
  <si>
    <t>Geräte</t>
  </si>
  <si>
    <t>Leistung</t>
  </si>
  <si>
    <t>Einzelpreis</t>
  </si>
  <si>
    <t>var.MK</t>
  </si>
  <si>
    <t>var.MK.</t>
  </si>
  <si>
    <t>h /10hl</t>
  </si>
  <si>
    <t>Traubenmühle+ Maischepumpe</t>
  </si>
  <si>
    <t>8t/h</t>
  </si>
  <si>
    <t>+ Abbeervorrichtung</t>
  </si>
  <si>
    <t>Maischebehälter</t>
  </si>
  <si>
    <t>je 2500 l</t>
  </si>
  <si>
    <t>Kelter</t>
  </si>
  <si>
    <t>1800 l</t>
  </si>
  <si>
    <t>2500 l</t>
  </si>
  <si>
    <t>3000 l</t>
  </si>
  <si>
    <t>Doppelrohrerhitzer</t>
  </si>
  <si>
    <t xml:space="preserve">2 t/h </t>
  </si>
  <si>
    <t>Filter 40 x 40 15er Edelstahl</t>
  </si>
  <si>
    <t>Drehfiltersieb</t>
  </si>
  <si>
    <t>2 m²</t>
  </si>
  <si>
    <t>Trubfilter 20er</t>
  </si>
  <si>
    <t>Cross-Flow-filter 2 Patronen</t>
  </si>
  <si>
    <t>Dosiergerät 100 l Beh.</t>
  </si>
  <si>
    <t>10000 l/h</t>
  </si>
  <si>
    <t>Kapselabbürstmaschine</t>
  </si>
  <si>
    <t>1200 Fl/h</t>
  </si>
  <si>
    <t>Dampferzeugung</t>
  </si>
  <si>
    <t>50 l Wasserm.</t>
  </si>
  <si>
    <t>Flascheneinweichrad 920 l</t>
  </si>
  <si>
    <t>7 Fächer</t>
  </si>
  <si>
    <t>Flaschenreinigung 6 Bürsten</t>
  </si>
  <si>
    <t>1500 Fl/h</t>
  </si>
  <si>
    <t>Kombi. Füll- u. Korkgerät</t>
  </si>
  <si>
    <t>Kapselanrollmaschine Standgerät</t>
  </si>
  <si>
    <t>Flaschenaußenwaschgerät</t>
  </si>
  <si>
    <t>1200Fl/h</t>
  </si>
  <si>
    <t>1000 Fl./h</t>
  </si>
  <si>
    <t>Kleingabelstabler</t>
  </si>
  <si>
    <t>n.selbstf.</t>
  </si>
  <si>
    <t>Hubwagen</t>
  </si>
  <si>
    <t>Heißwasserhochdruckreiniger</t>
  </si>
  <si>
    <t>910 l/h 100bar</t>
  </si>
  <si>
    <t>KFZ für Vertrieb</t>
  </si>
  <si>
    <t>60kW</t>
  </si>
  <si>
    <t>Boxen</t>
  </si>
  <si>
    <t>f.500 f l</t>
  </si>
  <si>
    <t>Computer</t>
  </si>
  <si>
    <t>Software</t>
  </si>
  <si>
    <t>Weinpumpe Seitenkanal u.a.</t>
  </si>
  <si>
    <t>3000-5000 l/h</t>
  </si>
  <si>
    <t>5000-10000 l/h</t>
  </si>
  <si>
    <t>Tresterförderband</t>
  </si>
  <si>
    <t>Seperator</t>
  </si>
  <si>
    <t>2000-4000 l/h</t>
  </si>
  <si>
    <t>Rührgeräte f. 10000 l Beh.</t>
  </si>
  <si>
    <t>Kieselgurfilter mit autom.Dosiereinr.</t>
  </si>
  <si>
    <t>3m² Filter</t>
  </si>
  <si>
    <t>Afa+Zins=</t>
  </si>
  <si>
    <t>Materialkosten</t>
  </si>
  <si>
    <t>je 1000 L Wein</t>
  </si>
  <si>
    <t>Anzahl/1000 l</t>
  </si>
  <si>
    <t>Ausstattung</t>
  </si>
  <si>
    <t>Flasche</t>
  </si>
  <si>
    <t>Korken</t>
  </si>
  <si>
    <t>Halsschleife</t>
  </si>
  <si>
    <t>Bauchettiketten</t>
  </si>
  <si>
    <t>Kapsel, Stanniol</t>
  </si>
  <si>
    <t>Leim, Klebestreifen</t>
  </si>
  <si>
    <t>Rechnungen+Preislisten</t>
  </si>
  <si>
    <t>je 20 Fl.</t>
  </si>
  <si>
    <t>Kartons</t>
  </si>
  <si>
    <t>6er</t>
  </si>
  <si>
    <t>je Flasche=</t>
  </si>
  <si>
    <t>je l Wein=</t>
  </si>
  <si>
    <t>Materialkosten Ausbau</t>
  </si>
  <si>
    <t>je 1000 l</t>
  </si>
  <si>
    <t>Schönungsmittel</t>
  </si>
  <si>
    <t>Gelatine</t>
  </si>
  <si>
    <t>Kieselsol</t>
  </si>
  <si>
    <t>Kohle</t>
  </si>
  <si>
    <t>Bentonit</t>
  </si>
  <si>
    <t>Schwefelung</t>
  </si>
  <si>
    <t>Anreicherung Zucker kg=</t>
  </si>
  <si>
    <t>Entsäuerung um 1%o</t>
  </si>
  <si>
    <t>Analyse</t>
  </si>
  <si>
    <t>QbA</t>
  </si>
  <si>
    <t>Reinigung</t>
  </si>
  <si>
    <t>var. Maschinenkosten</t>
  </si>
  <si>
    <t>1,0 l Fl.</t>
  </si>
  <si>
    <t>€/kg</t>
  </si>
  <si>
    <t>€/Fl. bzw. pro l</t>
  </si>
  <si>
    <t>€/l</t>
  </si>
  <si>
    <t>€/O,75 l Fl</t>
  </si>
  <si>
    <t>€/AKh</t>
  </si>
  <si>
    <t>€/Akh</t>
  </si>
  <si>
    <t>Ø€/l</t>
  </si>
  <si>
    <t>€/m³</t>
  </si>
  <si>
    <t>€</t>
  </si>
  <si>
    <t>€ je</t>
  </si>
  <si>
    <t>€ je 1000 l=</t>
  </si>
  <si>
    <t>€ je l=</t>
  </si>
  <si>
    <t>€/Jahr</t>
  </si>
  <si>
    <t>€/h</t>
  </si>
  <si>
    <t>€/1000 l</t>
  </si>
  <si>
    <t>Traubenabladen entrappen</t>
  </si>
  <si>
    <t>Maische aufschütten</t>
  </si>
  <si>
    <t>Pressen</t>
  </si>
  <si>
    <t>Mosteinlagerung</t>
  </si>
  <si>
    <t>Flotation</t>
  </si>
  <si>
    <t>Anreicherrung</t>
  </si>
  <si>
    <t>Mostbehandlung Ents.</t>
  </si>
  <si>
    <t>Gärkontrolle</t>
  </si>
  <si>
    <t>allgemeine Arbeiten</t>
  </si>
  <si>
    <t>Abstich</t>
  </si>
  <si>
    <t>Schwefeln2x</t>
  </si>
  <si>
    <t>Filtration 2x</t>
  </si>
  <si>
    <t>Auffüllen Kontrolle</t>
  </si>
  <si>
    <t>Süssreserve</t>
  </si>
  <si>
    <t>kleinere</t>
  </si>
  <si>
    <t>und Weinausbau</t>
  </si>
  <si>
    <t>Keltern und</t>
  </si>
  <si>
    <t xml:space="preserve">größere </t>
  </si>
  <si>
    <t>Presse/Behälter</t>
  </si>
  <si>
    <t>Lagerung allgem Arb.Fl.keller</t>
  </si>
  <si>
    <t>Weinprobe</t>
  </si>
  <si>
    <t>Flaschenentnahme</t>
  </si>
  <si>
    <t>Weinversand</t>
  </si>
  <si>
    <t>Tannin</t>
  </si>
  <si>
    <t>Trockenreinzuchthefe</t>
  </si>
  <si>
    <t>Filterschichten Klär</t>
  </si>
  <si>
    <t>Filterschichten EK</t>
  </si>
  <si>
    <t>Reparaturk.Gebäude:</t>
  </si>
  <si>
    <t>je ha</t>
  </si>
  <si>
    <t>Grundsteuer Hof Betriebsgebäude</t>
  </si>
  <si>
    <t>Grundsteuer Weinbaufläche</t>
  </si>
  <si>
    <t>entfällt da im Traubenpreis</t>
  </si>
  <si>
    <t>Versicherung Haftpflicht</t>
  </si>
  <si>
    <t>je 1000€ VS</t>
  </si>
  <si>
    <t>Versicherung GebäudeBrand</t>
  </si>
  <si>
    <t>evtl. Gärkühlung Energiekosten Wasser</t>
  </si>
  <si>
    <t>Sonstige KostenGeschätzte Kosten</t>
  </si>
  <si>
    <t>Weinfond</t>
  </si>
  <si>
    <t>Berufsgenossenschaft</t>
  </si>
  <si>
    <t>Berufsgenossenschaft Grundbeitrag</t>
  </si>
  <si>
    <t>Weinbauverband Beitrag</t>
  </si>
  <si>
    <t>Faktor</t>
  </si>
  <si>
    <t>Buchführungkosten</t>
  </si>
  <si>
    <t>Telefonkosten</t>
  </si>
  <si>
    <t>Betriebsführungskosten, Einkauf von Material</t>
  </si>
  <si>
    <t>Strom und Wasser (falls nicht var.Masch.K.)</t>
  </si>
  <si>
    <t>Fachzeitschriften, Fortbildung</t>
  </si>
  <si>
    <t>Versicherung Hagel</t>
  </si>
  <si>
    <t>ergibt auf 1000 l</t>
  </si>
  <si>
    <t>Steuerberatungskosten</t>
  </si>
  <si>
    <t>Weinwerbung</t>
  </si>
  <si>
    <t>Weinproben, Präsentation</t>
  </si>
  <si>
    <t>Weitere Kosten</t>
  </si>
  <si>
    <t>Abfallentsorgungskosten</t>
  </si>
  <si>
    <t>Internetauftritt</t>
  </si>
  <si>
    <t>2 t/h</t>
  </si>
  <si>
    <t>KZEVerfahren</t>
  </si>
  <si>
    <t>Barriquefässer</t>
  </si>
  <si>
    <t>Barriquefässer (kürzere Nutzung)</t>
  </si>
  <si>
    <t xml:space="preserve">Summe </t>
  </si>
  <si>
    <t>Zw Summe</t>
  </si>
  <si>
    <t>SO2-Dosiergerät Kellereiwagen</t>
  </si>
  <si>
    <t>3000 l/h</t>
  </si>
  <si>
    <t>Flaschenreinigung  autom</t>
  </si>
  <si>
    <t>1800 Fl/h</t>
  </si>
  <si>
    <t>Sterilisiergerät dreireihig autom</t>
  </si>
  <si>
    <t>2200 Fl/h</t>
  </si>
  <si>
    <t>1800Fl/h</t>
  </si>
  <si>
    <t>Flaschenaußenwaschgerät autom</t>
  </si>
  <si>
    <t>Etikettiermasch. autom.</t>
  </si>
  <si>
    <t>Frontgabelstabler elktro 2t</t>
  </si>
  <si>
    <t>selbstf.</t>
  </si>
  <si>
    <t>Sortierband 3,5m  Vibration</t>
  </si>
  <si>
    <t>Rotweinmaischegärbeh</t>
  </si>
  <si>
    <t>je 10000 l</t>
  </si>
  <si>
    <t>13,32 Stundenlohn Weinküfer gelernt</t>
  </si>
  <si>
    <t>Tarifvertrag Hessen 2011/12</t>
  </si>
  <si>
    <t>10,11 Stundenlohn für ungelernte Arbeiter schwere Arbeiten</t>
  </si>
  <si>
    <t>entfällt da im Traubenpreis (5500 DM Hektarwert ohne Degressionsfaktor)</t>
  </si>
  <si>
    <t xml:space="preserve">Stand </t>
  </si>
  <si>
    <t xml:space="preserve"> WBI/HuberG.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</si>
</sst>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General_)"/>
    <numFmt numFmtId="174" formatCode="0_)"/>
    <numFmt numFmtId="175" formatCode="0.00_)"/>
    <numFmt numFmtId="176" formatCode="0.000"/>
    <numFmt numFmtId="177" formatCode="#,##0.00\ &quot;DM&quot;"/>
    <numFmt numFmtId="178" formatCode="_-* #,##0.00\ [$€-1]_-;\-* #,##0.00\ [$€-1]_-;_-* &quot;-&quot;??\ [$€-1]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_-* #,##0.00\ [$€-1]_-;\-* #,##0.00\ [$€-1]_-;_-* &quot;-&quot;??\ [$€-1]_-;_-@_-"/>
    <numFmt numFmtId="183" formatCode="_-* #,##0.000\ [$€-1]_-;\-* #,##0.000\ [$€-1]_-;_-* &quot;-&quot;??\ [$€-1]_-"/>
    <numFmt numFmtId="184" formatCode="_-* #,##0.0000\ [$€-1]_-;\-* #,##0.0000\ [$€-1]_-;_-* &quot;-&quot;??\ [$€-1]_-"/>
    <numFmt numFmtId="185" formatCode="_-* #,##0.0\ [$€-1]_-;\-* #,##0.0\ [$€-1]_-;_-* &quot;-&quot;??\ [$€-1]_-"/>
    <numFmt numFmtId="186" formatCode="_-* #,##0\ [$€-1]_-;\-* #,##0\ [$€-1]_-;_-* &quot;-&quot;??\ [$€-1]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mmmm\ 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 applyProtection="1">
      <alignment/>
      <protection/>
    </xf>
    <xf numFmtId="2" fontId="6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left"/>
    </xf>
    <xf numFmtId="0" fontId="0" fillId="0" borderId="9" xfId="0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11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1" fontId="0" fillId="0" borderId="1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74" fontId="0" fillId="0" borderId="6" xfId="0" applyNumberFormat="1" applyBorder="1" applyAlignment="1" applyProtection="1">
      <alignment/>
      <protection/>
    </xf>
    <xf numFmtId="174" fontId="0" fillId="0" borderId="3" xfId="0" applyNumberFormat="1" applyBorder="1" applyAlignment="1" applyProtection="1">
      <alignment/>
      <protection/>
    </xf>
    <xf numFmtId="174" fontId="0" fillId="0" borderId="8" xfId="0" applyNumberFormat="1" applyBorder="1" applyAlignment="1" applyProtection="1">
      <alignment/>
      <protection/>
    </xf>
    <xf numFmtId="174" fontId="0" fillId="0" borderId="1" xfId="0" applyNumberFormat="1" applyBorder="1" applyAlignment="1" applyProtection="1">
      <alignment horizontal="left"/>
      <protection/>
    </xf>
    <xf numFmtId="174" fontId="0" fillId="0" borderId="13" xfId="0" applyNumberFormat="1" applyBorder="1" applyAlignment="1" applyProtection="1">
      <alignment/>
      <protection/>
    </xf>
    <xf numFmtId="174" fontId="0" fillId="0" borderId="14" xfId="0" applyNumberFormat="1" applyBorder="1" applyAlignment="1" applyProtection="1">
      <alignment/>
      <protection/>
    </xf>
    <xf numFmtId="174" fontId="0" fillId="0" borderId="1" xfId="0" applyNumberFormat="1" applyBorder="1" applyAlignment="1" applyProtection="1">
      <alignment/>
      <protection/>
    </xf>
    <xf numFmtId="174" fontId="0" fillId="0" borderId="2" xfId="0" applyNumberFormat="1" applyBorder="1" applyAlignment="1" applyProtection="1">
      <alignment/>
      <protection/>
    </xf>
    <xf numFmtId="174" fontId="0" fillId="0" borderId="7" xfId="0" applyNumberFormat="1" applyBorder="1" applyAlignment="1" applyProtection="1">
      <alignment/>
      <protection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left"/>
    </xf>
    <xf numFmtId="174" fontId="7" fillId="0" borderId="4" xfId="0" applyNumberFormat="1" applyFont="1" applyBorder="1" applyAlignment="1" applyProtection="1">
      <alignment/>
      <protection/>
    </xf>
    <xf numFmtId="174" fontId="7" fillId="0" borderId="9" xfId="0" applyNumberFormat="1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2" fontId="7" fillId="0" borderId="9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4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9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 quotePrefix="1">
      <alignment horizontal="left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" fillId="0" borderId="0" xfId="0" applyNumberFormat="1" applyFont="1" applyBorder="1" applyAlignment="1">
      <alignment horizontal="left"/>
    </xf>
    <xf numFmtId="176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3" xfId="0" applyFont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 quotePrefix="1">
      <alignment horizontal="left"/>
    </xf>
    <xf numFmtId="0" fontId="1" fillId="2" borderId="5" xfId="0" applyFont="1" applyFill="1" applyBorder="1" applyAlignment="1">
      <alignment/>
    </xf>
    <xf numFmtId="2" fontId="1" fillId="2" borderId="25" xfId="0" applyNumberFormat="1" applyFont="1" applyFill="1" applyBorder="1" applyAlignment="1">
      <alignment/>
    </xf>
    <xf numFmtId="2" fontId="1" fillId="2" borderId="26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 quotePrefix="1">
      <alignment horizontal="right"/>
    </xf>
    <xf numFmtId="10" fontId="0" fillId="3" borderId="0" xfId="0" applyNumberFormat="1" applyFill="1" applyAlignment="1">
      <alignment horizontal="left"/>
    </xf>
    <xf numFmtId="0" fontId="0" fillId="3" borderId="0" xfId="0" applyFill="1" applyAlignment="1" quotePrefix="1">
      <alignment horizontal="left"/>
    </xf>
    <xf numFmtId="0" fontId="1" fillId="2" borderId="4" xfId="0" applyFont="1" applyFill="1" applyBorder="1" applyAlignment="1">
      <alignment/>
    </xf>
    <xf numFmtId="0" fontId="4" fillId="3" borderId="0" xfId="0" applyFont="1" applyFill="1" applyAlignment="1" applyProtection="1">
      <alignment/>
      <protection locked="0"/>
    </xf>
    <xf numFmtId="2" fontId="4" fillId="0" borderId="25" xfId="0" applyNumberFormat="1" applyFont="1" applyBorder="1" applyAlignment="1" applyProtection="1">
      <alignment/>
      <protection locked="0"/>
    </xf>
    <xf numFmtId="0" fontId="1" fillId="2" borderId="5" xfId="0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2" fontId="1" fillId="2" borderId="5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174" fontId="4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74" fontId="4" fillId="0" borderId="1" xfId="0" applyNumberFormat="1" applyFont="1" applyBorder="1" applyAlignment="1" applyProtection="1">
      <alignment/>
      <protection locked="0"/>
    </xf>
    <xf numFmtId="174" fontId="0" fillId="0" borderId="3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0" fillId="0" borderId="5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172" fontId="4" fillId="0" borderId="2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172" fontId="4" fillId="0" borderId="22" xfId="0" applyNumberFormat="1" applyFont="1" applyBorder="1" applyAlignment="1" applyProtection="1">
      <alignment/>
      <protection locked="0"/>
    </xf>
    <xf numFmtId="172" fontId="0" fillId="0" borderId="26" xfId="0" applyNumberForma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" fillId="0" borderId="2" xfId="0" applyFont="1" applyBorder="1" applyAlignment="1">
      <alignment/>
    </xf>
    <xf numFmtId="2" fontId="4" fillId="0" borderId="2" xfId="0" applyNumberFormat="1" applyFont="1" applyBorder="1" applyAlignment="1" applyProtection="1">
      <alignment/>
      <protection locked="0"/>
    </xf>
    <xf numFmtId="2" fontId="4" fillId="0" borderId="7" xfId="0" applyNumberFormat="1" applyFont="1" applyBorder="1" applyAlignment="1" applyProtection="1">
      <alignment/>
      <protection locked="0"/>
    </xf>
    <xf numFmtId="2" fontId="4" fillId="0" borderId="3" xfId="0" applyNumberFormat="1" applyFont="1" applyBorder="1" applyAlignment="1" applyProtection="1">
      <alignment/>
      <protection locked="0"/>
    </xf>
    <xf numFmtId="2" fontId="4" fillId="0" borderId="8" xfId="0" applyNumberFormat="1" applyFont="1" applyBorder="1" applyAlignment="1" applyProtection="1">
      <alignment/>
      <protection locked="0"/>
    </xf>
    <xf numFmtId="0" fontId="0" fillId="0" borderId="2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4" fillId="3" borderId="0" xfId="0" applyNumberFormat="1" applyFont="1" applyFill="1" applyAlignment="1" applyProtection="1">
      <alignment/>
      <protection locked="0"/>
    </xf>
    <xf numFmtId="0" fontId="0" fillId="2" borderId="4" xfId="0" applyFill="1" applyBorder="1" applyAlignment="1" quotePrefix="1">
      <alignment horizontal="left"/>
    </xf>
    <xf numFmtId="2" fontId="0" fillId="2" borderId="25" xfId="0" applyNumberFormat="1" applyFill="1" applyBorder="1" applyAlignment="1">
      <alignment/>
    </xf>
    <xf numFmtId="2" fontId="0" fillId="2" borderId="26" xfId="0" applyNumberFormat="1" applyFill="1" applyBorder="1" applyAlignment="1">
      <alignment/>
    </xf>
    <xf numFmtId="2" fontId="4" fillId="0" borderId="17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2" fontId="4" fillId="0" borderId="16" xfId="0" applyNumberFormat="1" applyFont="1" applyBorder="1" applyAlignment="1" applyProtection="1">
      <alignment/>
      <protection locked="0"/>
    </xf>
    <xf numFmtId="178" fontId="1" fillId="0" borderId="2" xfId="0" applyNumberFormat="1" applyFont="1" applyBorder="1" applyAlignment="1">
      <alignment/>
    </xf>
    <xf numFmtId="178" fontId="1" fillId="0" borderId="7" xfId="0" applyNumberFormat="1" applyFont="1" applyBorder="1" applyAlignment="1">
      <alignment/>
    </xf>
    <xf numFmtId="178" fontId="1" fillId="2" borderId="4" xfId="0" applyNumberFormat="1" applyFont="1" applyFill="1" applyBorder="1" applyAlignment="1">
      <alignment/>
    </xf>
    <xf numFmtId="178" fontId="1" fillId="2" borderId="9" xfId="0" applyNumberFormat="1" applyFont="1" applyFill="1" applyBorder="1" applyAlignment="1">
      <alignment/>
    </xf>
    <xf numFmtId="178" fontId="0" fillId="0" borderId="2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1" fillId="2" borderId="1" xfId="0" applyNumberFormat="1" applyFont="1" applyFill="1" applyBorder="1" applyAlignment="1">
      <alignment/>
    </xf>
    <xf numFmtId="178" fontId="1" fillId="2" borderId="20" xfId="0" applyNumberFormat="1" applyFont="1" applyFill="1" applyBorder="1" applyAlignment="1">
      <alignment/>
    </xf>
    <xf numFmtId="178" fontId="1" fillId="2" borderId="3" xfId="0" applyNumberFormat="1" applyFont="1" applyFill="1" applyBorder="1" applyAlignment="1">
      <alignment/>
    </xf>
    <xf numFmtId="178" fontId="1" fillId="2" borderId="24" xfId="0" applyNumberFormat="1" applyFont="1" applyFill="1" applyBorder="1" applyAlignment="1">
      <alignment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172" fontId="0" fillId="0" borderId="2" xfId="0" applyNumberFormat="1" applyFont="1" applyBorder="1" applyAlignment="1" applyProtection="1">
      <alignment/>
      <protection/>
    </xf>
    <xf numFmtId="172" fontId="0" fillId="0" borderId="22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/>
      <protection locked="0"/>
    </xf>
    <xf numFmtId="178" fontId="13" fillId="0" borderId="2" xfId="0" applyNumberFormat="1" applyFont="1" applyBorder="1" applyAlignment="1" applyProtection="1">
      <alignment/>
      <protection locked="0"/>
    </xf>
    <xf numFmtId="178" fontId="13" fillId="0" borderId="7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78" fontId="4" fillId="0" borderId="0" xfId="0" applyNumberFormat="1" applyFon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82" fontId="0" fillId="0" borderId="0" xfId="0" applyNumberFormat="1" applyAlignment="1" applyProtection="1">
      <alignment/>
      <protection/>
    </xf>
    <xf numFmtId="178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0" fillId="4" borderId="0" xfId="0" applyFill="1" applyAlignment="1">
      <alignment/>
    </xf>
    <xf numFmtId="182" fontId="0" fillId="4" borderId="0" xfId="0" applyNumberFormat="1" applyFill="1" applyAlignment="1">
      <alignment/>
    </xf>
    <xf numFmtId="186" fontId="4" fillId="4" borderId="0" xfId="0" applyNumberFormat="1" applyFont="1" applyFill="1" applyAlignment="1" applyProtection="1">
      <alignment/>
      <protection locked="0"/>
    </xf>
    <xf numFmtId="178" fontId="4" fillId="4" borderId="0" xfId="0" applyNumberFormat="1" applyFont="1" applyFill="1" applyAlignment="1" applyProtection="1">
      <alignment/>
      <protection locked="0"/>
    </xf>
    <xf numFmtId="2" fontId="0" fillId="0" borderId="7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Fill="1" applyBorder="1" applyAlignment="1">
      <alignment/>
    </xf>
    <xf numFmtId="172" fontId="4" fillId="0" borderId="14" xfId="0" applyNumberFormat="1" applyFont="1" applyBorder="1" applyAlignment="1" applyProtection="1">
      <alignment/>
      <protection locked="0"/>
    </xf>
    <xf numFmtId="172" fontId="4" fillId="0" borderId="8" xfId="0" applyNumberFormat="1" applyFont="1" applyBorder="1" applyAlignment="1" applyProtection="1">
      <alignment/>
      <protection locked="0"/>
    </xf>
    <xf numFmtId="19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workbookViewId="0" topLeftCell="A1">
      <selection activeCell="G3" sqref="G3"/>
    </sheetView>
  </sheetViews>
  <sheetFormatPr defaultColWidth="11.421875" defaultRowHeight="12.75"/>
  <cols>
    <col min="5" max="6" width="13.00390625" style="0" customWidth="1"/>
    <col min="7" max="15" width="8.7109375" style="0" customWidth="1"/>
  </cols>
  <sheetData>
    <row r="1" ht="18">
      <c r="B1" s="10" t="s">
        <v>0</v>
      </c>
    </row>
    <row r="2" spans="7:12" ht="12.75">
      <c r="G2" t="s">
        <v>1</v>
      </c>
      <c r="J2" t="s">
        <v>299</v>
      </c>
      <c r="K2" s="232">
        <v>41456</v>
      </c>
      <c r="L2" t="s">
        <v>300</v>
      </c>
    </row>
    <row r="3" spans="1:7" ht="12.75">
      <c r="A3" s="133" t="s">
        <v>2</v>
      </c>
      <c r="B3" s="133"/>
      <c r="C3" s="133"/>
      <c r="D3" s="133"/>
      <c r="E3" s="133"/>
      <c r="F3" s="133"/>
      <c r="G3" s="150" t="s">
        <v>3</v>
      </c>
    </row>
    <row r="4" spans="1:7" ht="12.75">
      <c r="A4" s="133" t="s">
        <v>4</v>
      </c>
      <c r="B4" s="133"/>
      <c r="C4" s="139">
        <v>14</v>
      </c>
      <c r="D4" s="133" t="s">
        <v>5</v>
      </c>
      <c r="E4" s="133"/>
      <c r="F4" s="133"/>
      <c r="G4" s="150" t="s">
        <v>6</v>
      </c>
    </row>
    <row r="5" spans="1:7" ht="12.75">
      <c r="A5" s="133" t="s">
        <v>7</v>
      </c>
      <c r="B5" s="133"/>
      <c r="C5" s="184">
        <v>13.32</v>
      </c>
      <c r="D5" s="133" t="s">
        <v>209</v>
      </c>
      <c r="E5" s="133"/>
      <c r="F5" s="133"/>
      <c r="G5" s="150" t="s">
        <v>8</v>
      </c>
    </row>
    <row r="6" spans="1:7" ht="12.75">
      <c r="A6" s="133" t="s">
        <v>9</v>
      </c>
      <c r="B6" s="133"/>
      <c r="C6" s="184">
        <v>10.11</v>
      </c>
      <c r="D6" s="133" t="s">
        <v>210</v>
      </c>
      <c r="E6" s="133"/>
      <c r="F6" s="133"/>
      <c r="G6" s="150" t="s">
        <v>10</v>
      </c>
    </row>
    <row r="7" spans="1:7" ht="12.75">
      <c r="A7" s="133" t="s">
        <v>11</v>
      </c>
      <c r="B7" s="133"/>
      <c r="C7" s="133">
        <f>C8*C9</f>
        <v>118.80000000000001</v>
      </c>
      <c r="D7" s="133" t="s">
        <v>12</v>
      </c>
      <c r="E7" s="134"/>
      <c r="F7" s="133"/>
      <c r="G7" s="150" t="s">
        <v>13</v>
      </c>
    </row>
    <row r="8" spans="1:7" ht="12.75">
      <c r="A8" s="133"/>
      <c r="B8" s="133" t="s">
        <v>14</v>
      </c>
      <c r="C8" s="139">
        <v>90</v>
      </c>
      <c r="D8" s="133" t="s">
        <v>15</v>
      </c>
      <c r="E8" s="133"/>
      <c r="F8" s="133"/>
      <c r="G8" s="150" t="s">
        <v>16</v>
      </c>
    </row>
    <row r="9" spans="1:6" ht="12.75">
      <c r="A9" s="135" t="s">
        <v>17</v>
      </c>
      <c r="B9" s="136">
        <f>1/C9</f>
        <v>0.7575757575757576</v>
      </c>
      <c r="C9" s="139">
        <v>1.32</v>
      </c>
      <c r="D9" s="137" t="s">
        <v>18</v>
      </c>
      <c r="E9" s="133"/>
      <c r="F9" s="133"/>
    </row>
    <row r="10" spans="1:8" ht="12.75">
      <c r="A10" s="133" t="s">
        <v>19</v>
      </c>
      <c r="B10" s="133"/>
      <c r="C10" s="133">
        <f>C4*C8*100</f>
        <v>126000</v>
      </c>
      <c r="D10" s="133" t="s">
        <v>20</v>
      </c>
      <c r="E10" s="133"/>
      <c r="F10" s="133"/>
      <c r="H10" t="s">
        <v>296</v>
      </c>
    </row>
    <row r="11" spans="1:8" ht="12.75">
      <c r="A11" s="133" t="s">
        <v>21</v>
      </c>
      <c r="B11" s="133"/>
      <c r="C11" s="133">
        <f>C10*2</f>
        <v>252000</v>
      </c>
      <c r="D11" s="133" t="s">
        <v>20</v>
      </c>
      <c r="E11" s="133"/>
      <c r="F11" s="133"/>
      <c r="H11" t="s">
        <v>295</v>
      </c>
    </row>
    <row r="12" spans="1:8" ht="12.75">
      <c r="A12" s="133" t="s">
        <v>22</v>
      </c>
      <c r="B12" s="133"/>
      <c r="C12" s="139">
        <v>3</v>
      </c>
      <c r="D12" s="133" t="s">
        <v>23</v>
      </c>
      <c r="E12" s="133"/>
      <c r="F12" s="133"/>
      <c r="H12" t="s">
        <v>297</v>
      </c>
    </row>
    <row r="13" spans="1:6" ht="12.75">
      <c r="A13" s="133" t="s">
        <v>24</v>
      </c>
      <c r="B13" s="133"/>
      <c r="C13" s="139">
        <v>1</v>
      </c>
      <c r="D13" s="133" t="s">
        <v>23</v>
      </c>
      <c r="E13" s="133"/>
      <c r="F13" s="133"/>
    </row>
    <row r="14" spans="1:6" ht="12.75">
      <c r="A14" s="133" t="s">
        <v>25</v>
      </c>
      <c r="B14" s="133"/>
      <c r="C14" s="139">
        <v>0.6</v>
      </c>
      <c r="D14" s="133" t="s">
        <v>23</v>
      </c>
      <c r="E14" s="133"/>
      <c r="F14" s="133"/>
    </row>
    <row r="15" spans="1:6" ht="12.75">
      <c r="A15" s="133" t="s">
        <v>247</v>
      </c>
      <c r="B15" s="133"/>
      <c r="C15" s="139">
        <v>0.6</v>
      </c>
      <c r="D15" s="133" t="s">
        <v>23</v>
      </c>
      <c r="E15" s="133"/>
      <c r="F15" s="133"/>
    </row>
    <row r="16" ht="16.5" thickBot="1">
      <c r="A16" s="108" t="s">
        <v>26</v>
      </c>
    </row>
    <row r="17" spans="1:6" ht="13.5" thickBot="1">
      <c r="A17" s="1"/>
      <c r="B17" s="26"/>
      <c r="C17" s="26"/>
      <c r="D17" s="26"/>
      <c r="E17" s="182" t="s">
        <v>27</v>
      </c>
      <c r="F17" s="183" t="s">
        <v>28</v>
      </c>
    </row>
    <row r="18" spans="1:6" ht="12.75">
      <c r="A18" s="176" t="s">
        <v>29</v>
      </c>
      <c r="B18" s="37"/>
      <c r="C18" s="37"/>
      <c r="D18" s="37"/>
      <c r="E18" s="194">
        <f>Arbeit!E18</f>
        <v>1193.4720000000002</v>
      </c>
      <c r="F18" s="195">
        <f>Arbeit!F18</f>
        <v>961.7040000000001</v>
      </c>
    </row>
    <row r="19" spans="1:6" ht="12.75">
      <c r="A19" s="126" t="s">
        <v>30</v>
      </c>
      <c r="B19" s="37"/>
      <c r="C19" s="37"/>
      <c r="D19" s="37"/>
      <c r="E19" s="194">
        <f>Material!E32</f>
        <v>397.59000000000003</v>
      </c>
      <c r="F19" s="195">
        <f>Material!E32</f>
        <v>397.59000000000003</v>
      </c>
    </row>
    <row r="20" spans="1:6" ht="12.75">
      <c r="A20" s="126" t="s">
        <v>31</v>
      </c>
      <c r="B20" s="37"/>
      <c r="C20" s="37"/>
      <c r="D20" s="37"/>
      <c r="E20" s="194">
        <f>Material!E13</f>
        <v>737.7056666666666</v>
      </c>
      <c r="F20" s="195">
        <f>Material!E45</f>
        <v>484.6666666666667</v>
      </c>
    </row>
    <row r="21" spans="1:6" ht="12.75">
      <c r="A21" s="176" t="s">
        <v>32</v>
      </c>
      <c r="B21" s="37"/>
      <c r="C21" s="37"/>
      <c r="D21" s="37"/>
      <c r="E21" s="194">
        <f>Material!D46</f>
        <v>0</v>
      </c>
      <c r="F21" s="195">
        <f>Material!E46</f>
        <v>0</v>
      </c>
    </row>
    <row r="22" spans="1:6" ht="12.75">
      <c r="A22" s="176" t="s">
        <v>33</v>
      </c>
      <c r="B22" s="37"/>
      <c r="C22" s="37"/>
      <c r="D22" s="37"/>
      <c r="E22" s="194">
        <f>Kapital!D61</f>
        <v>281.3203042328042</v>
      </c>
      <c r="F22" s="195">
        <f>Kapital!D61</f>
        <v>281.3203042328042</v>
      </c>
    </row>
    <row r="23" spans="1:6" ht="12.75">
      <c r="A23" s="176" t="s">
        <v>34</v>
      </c>
      <c r="B23" s="37"/>
      <c r="C23" s="37"/>
      <c r="D23" s="37"/>
      <c r="E23" s="194">
        <f>Kapital!D13</f>
        <v>156.50740740740744</v>
      </c>
      <c r="F23" s="195">
        <f>Kapital!D13</f>
        <v>156.50740740740744</v>
      </c>
    </row>
    <row r="24" spans="1:6" ht="12.75">
      <c r="A24" s="126" t="s">
        <v>35</v>
      </c>
      <c r="B24" s="37"/>
      <c r="C24" s="37"/>
      <c r="D24" s="37"/>
      <c r="E24" s="194">
        <f>Kapital!D4</f>
        <v>392.4250543243677</v>
      </c>
      <c r="F24" s="195">
        <f>Kapital!D4</f>
        <v>392.4250543243677</v>
      </c>
    </row>
    <row r="25" spans="1:6" ht="13.5" thickBot="1">
      <c r="A25" s="176" t="s">
        <v>36</v>
      </c>
      <c r="B25" s="37"/>
      <c r="C25" s="37"/>
      <c r="D25" s="37"/>
      <c r="E25" s="214">
        <f>E69</f>
        <v>118.16871105824715</v>
      </c>
      <c r="F25" s="215">
        <f>E69</f>
        <v>118.16871105824715</v>
      </c>
    </row>
    <row r="26" spans="1:6" ht="13.5" thickBot="1">
      <c r="A26" s="129" t="s">
        <v>37</v>
      </c>
      <c r="B26" s="128"/>
      <c r="C26" s="128"/>
      <c r="D26" s="128"/>
      <c r="E26" s="196">
        <f>SUM(E18:E25)</f>
        <v>3277.189143689493</v>
      </c>
      <c r="F26" s="197">
        <f>SUM(F18:F25)</f>
        <v>2792.382143689493</v>
      </c>
    </row>
    <row r="28" ht="16.5" thickBot="1">
      <c r="A28" s="108" t="s">
        <v>38</v>
      </c>
    </row>
    <row r="29" spans="1:15" ht="13.5" thickBot="1">
      <c r="A29" s="4" t="s">
        <v>39</v>
      </c>
      <c r="B29" s="5" t="s">
        <v>205</v>
      </c>
      <c r="C29" s="5"/>
      <c r="D29" s="140">
        <v>0.5</v>
      </c>
      <c r="E29" s="118">
        <f>D29+0.1</f>
        <v>0.6</v>
      </c>
      <c r="F29" s="118">
        <f aca="true" t="shared" si="0" ref="F29:L29">E29+0.1</f>
        <v>0.7</v>
      </c>
      <c r="G29" s="118">
        <f t="shared" si="0"/>
        <v>0.7999999999999999</v>
      </c>
      <c r="H29" s="118">
        <f t="shared" si="0"/>
        <v>0.8999999999999999</v>
      </c>
      <c r="I29" s="118">
        <f t="shared" si="0"/>
        <v>0.9999999999999999</v>
      </c>
      <c r="J29" s="118">
        <f t="shared" si="0"/>
        <v>1.0999999999999999</v>
      </c>
      <c r="K29" s="118">
        <f t="shared" si="0"/>
        <v>1.2</v>
      </c>
      <c r="L29" s="118">
        <f t="shared" si="0"/>
        <v>1.3</v>
      </c>
      <c r="M29" s="118">
        <f>L29+0.2</f>
        <v>1.5</v>
      </c>
      <c r="N29" s="118">
        <f>M29+0.2</f>
        <v>1.7</v>
      </c>
      <c r="O29" s="119">
        <f>N29+0.2</f>
        <v>1.9</v>
      </c>
    </row>
    <row r="30" spans="1:15" ht="12.75">
      <c r="A30" s="123" t="s">
        <v>40</v>
      </c>
      <c r="B30" s="26"/>
      <c r="C30" s="26"/>
      <c r="D30" s="110">
        <f>D29*$C$9</f>
        <v>0.66</v>
      </c>
      <c r="E30" s="110">
        <f aca="true" t="shared" si="1" ref="E30:O30">E29*$C$9</f>
        <v>0.792</v>
      </c>
      <c r="F30" s="110">
        <f t="shared" si="1"/>
        <v>0.9239999999999999</v>
      </c>
      <c r="G30" s="110">
        <f t="shared" si="1"/>
        <v>1.056</v>
      </c>
      <c r="H30" s="110">
        <f t="shared" si="1"/>
        <v>1.188</v>
      </c>
      <c r="I30" s="110">
        <f t="shared" si="1"/>
        <v>1.3199999999999998</v>
      </c>
      <c r="J30" s="110">
        <f t="shared" si="1"/>
        <v>1.452</v>
      </c>
      <c r="K30" s="110">
        <f t="shared" si="1"/>
        <v>1.584</v>
      </c>
      <c r="L30" s="110">
        <f t="shared" si="1"/>
        <v>1.7160000000000002</v>
      </c>
      <c r="M30" s="110">
        <f t="shared" si="1"/>
        <v>1.98</v>
      </c>
      <c r="N30" s="110">
        <f t="shared" si="1"/>
        <v>2.244</v>
      </c>
      <c r="O30" s="111">
        <f t="shared" si="1"/>
        <v>2.508</v>
      </c>
    </row>
    <row r="31" spans="1:15" ht="13.5" thickBot="1">
      <c r="A31" s="127" t="s">
        <v>41</v>
      </c>
      <c r="B31" s="33"/>
      <c r="C31" s="3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5"/>
    </row>
    <row r="32" spans="1:15" ht="13.5" thickBot="1">
      <c r="A32" s="3" t="s">
        <v>42</v>
      </c>
      <c r="B32" s="33"/>
      <c r="C32" s="33"/>
      <c r="D32" s="116">
        <f>$F$26/1000</f>
        <v>2.792382143689493</v>
      </c>
      <c r="E32" s="116">
        <f aca="true" t="shared" si="2" ref="E32:O32">$F$26/1000</f>
        <v>2.792382143689493</v>
      </c>
      <c r="F32" s="116">
        <f t="shared" si="2"/>
        <v>2.792382143689493</v>
      </c>
      <c r="G32" s="116">
        <f t="shared" si="2"/>
        <v>2.792382143689493</v>
      </c>
      <c r="H32" s="116">
        <f t="shared" si="2"/>
        <v>2.792382143689493</v>
      </c>
      <c r="I32" s="116">
        <f t="shared" si="2"/>
        <v>2.792382143689493</v>
      </c>
      <c r="J32" s="116">
        <f t="shared" si="2"/>
        <v>2.792382143689493</v>
      </c>
      <c r="K32" s="116">
        <f t="shared" si="2"/>
        <v>2.792382143689493</v>
      </c>
      <c r="L32" s="116">
        <f t="shared" si="2"/>
        <v>2.792382143689493</v>
      </c>
      <c r="M32" s="116">
        <f t="shared" si="2"/>
        <v>2.792382143689493</v>
      </c>
      <c r="N32" s="116">
        <f t="shared" si="2"/>
        <v>2.792382143689493</v>
      </c>
      <c r="O32" s="117">
        <f t="shared" si="2"/>
        <v>2.792382143689493</v>
      </c>
    </row>
    <row r="33" spans="1:15" ht="13.5" thickBot="1">
      <c r="A33" s="138" t="s">
        <v>206</v>
      </c>
      <c r="B33" s="130"/>
      <c r="C33" s="130"/>
      <c r="D33" s="131">
        <f>SUM(D30:D32)</f>
        <v>3.4523821436894933</v>
      </c>
      <c r="E33" s="131">
        <f aca="true" t="shared" si="3" ref="E33:N33">SUM(E30:E32)</f>
        <v>3.584382143689493</v>
      </c>
      <c r="F33" s="131">
        <f t="shared" si="3"/>
        <v>3.716382143689493</v>
      </c>
      <c r="G33" s="131">
        <f t="shared" si="3"/>
        <v>3.848382143689493</v>
      </c>
      <c r="H33" s="131">
        <f t="shared" si="3"/>
        <v>3.980382143689493</v>
      </c>
      <c r="I33" s="131">
        <f t="shared" si="3"/>
        <v>4.1123821436894925</v>
      </c>
      <c r="J33" s="131">
        <f t="shared" si="3"/>
        <v>4.244382143689493</v>
      </c>
      <c r="K33" s="131">
        <f t="shared" si="3"/>
        <v>4.376382143689494</v>
      </c>
      <c r="L33" s="131">
        <f t="shared" si="3"/>
        <v>4.508382143689493</v>
      </c>
      <c r="M33" s="131">
        <f t="shared" si="3"/>
        <v>4.772382143689493</v>
      </c>
      <c r="N33" s="131">
        <f t="shared" si="3"/>
        <v>5.036382143689494</v>
      </c>
      <c r="O33" s="132">
        <f>SUM(O30:O32)</f>
        <v>5.300382143689493</v>
      </c>
    </row>
    <row r="34" ht="18.75" customHeight="1" thickBot="1"/>
    <row r="35" spans="1:15" ht="13.5" thickBot="1">
      <c r="A35" s="4" t="s">
        <v>39</v>
      </c>
      <c r="B35" s="5" t="s">
        <v>205</v>
      </c>
      <c r="C35" s="5"/>
      <c r="D35" s="118">
        <f aca="true" t="shared" si="4" ref="D35:O35">D29</f>
        <v>0.5</v>
      </c>
      <c r="E35" s="118">
        <f t="shared" si="4"/>
        <v>0.6</v>
      </c>
      <c r="F35" s="118">
        <f t="shared" si="4"/>
        <v>0.7</v>
      </c>
      <c r="G35" s="118">
        <f t="shared" si="4"/>
        <v>0.7999999999999999</v>
      </c>
      <c r="H35" s="118">
        <f t="shared" si="4"/>
        <v>0.8999999999999999</v>
      </c>
      <c r="I35" s="118">
        <f t="shared" si="4"/>
        <v>0.9999999999999999</v>
      </c>
      <c r="J35" s="118">
        <f t="shared" si="4"/>
        <v>1.0999999999999999</v>
      </c>
      <c r="K35" s="118">
        <f t="shared" si="4"/>
        <v>1.2</v>
      </c>
      <c r="L35" s="118">
        <f t="shared" si="4"/>
        <v>1.3</v>
      </c>
      <c r="M35" s="118">
        <f t="shared" si="4"/>
        <v>1.5</v>
      </c>
      <c r="N35" s="118">
        <f t="shared" si="4"/>
        <v>1.7</v>
      </c>
      <c r="O35" s="119">
        <f t="shared" si="4"/>
        <v>1.9</v>
      </c>
    </row>
    <row r="36" spans="1:15" ht="12.75">
      <c r="A36" s="109" t="s">
        <v>40</v>
      </c>
      <c r="B36" s="37"/>
      <c r="C36" s="37"/>
      <c r="D36" s="112">
        <f>D35*$C$9</f>
        <v>0.66</v>
      </c>
      <c r="E36" s="112">
        <f aca="true" t="shared" si="5" ref="E36:O36">E35*$C$9</f>
        <v>0.792</v>
      </c>
      <c r="F36" s="112">
        <f t="shared" si="5"/>
        <v>0.9239999999999999</v>
      </c>
      <c r="G36" s="112">
        <f t="shared" si="5"/>
        <v>1.056</v>
      </c>
      <c r="H36" s="112">
        <f t="shared" si="5"/>
        <v>1.188</v>
      </c>
      <c r="I36" s="112">
        <f t="shared" si="5"/>
        <v>1.3199999999999998</v>
      </c>
      <c r="J36" s="112">
        <f t="shared" si="5"/>
        <v>1.452</v>
      </c>
      <c r="K36" s="112">
        <f t="shared" si="5"/>
        <v>1.584</v>
      </c>
      <c r="L36" s="112">
        <f t="shared" si="5"/>
        <v>1.7160000000000002</v>
      </c>
      <c r="M36" s="112">
        <f t="shared" si="5"/>
        <v>1.98</v>
      </c>
      <c r="N36" s="112">
        <f t="shared" si="5"/>
        <v>2.244</v>
      </c>
      <c r="O36" s="113">
        <f t="shared" si="5"/>
        <v>2.508</v>
      </c>
    </row>
    <row r="37" spans="1:15" ht="12.75">
      <c r="A37" s="126" t="s">
        <v>43</v>
      </c>
      <c r="B37" s="37"/>
      <c r="C37" s="37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</row>
    <row r="38" spans="1:15" ht="13.5" thickBot="1">
      <c r="A38" s="3" t="s">
        <v>42</v>
      </c>
      <c r="B38" s="33"/>
      <c r="C38" s="33"/>
      <c r="D38" s="116">
        <f>$E$26/1000</f>
        <v>3.277189143689493</v>
      </c>
      <c r="E38" s="116">
        <f aca="true" t="shared" si="6" ref="E38:O38">$E$26/1000</f>
        <v>3.277189143689493</v>
      </c>
      <c r="F38" s="116">
        <f t="shared" si="6"/>
        <v>3.277189143689493</v>
      </c>
      <c r="G38" s="116">
        <f t="shared" si="6"/>
        <v>3.277189143689493</v>
      </c>
      <c r="H38" s="116">
        <f t="shared" si="6"/>
        <v>3.277189143689493</v>
      </c>
      <c r="I38" s="116">
        <f t="shared" si="6"/>
        <v>3.277189143689493</v>
      </c>
      <c r="J38" s="116">
        <f t="shared" si="6"/>
        <v>3.277189143689493</v>
      </c>
      <c r="K38" s="116">
        <f t="shared" si="6"/>
        <v>3.277189143689493</v>
      </c>
      <c r="L38" s="116">
        <f t="shared" si="6"/>
        <v>3.277189143689493</v>
      </c>
      <c r="M38" s="116">
        <f t="shared" si="6"/>
        <v>3.277189143689493</v>
      </c>
      <c r="N38" s="116">
        <f t="shared" si="6"/>
        <v>3.277189143689493</v>
      </c>
      <c r="O38" s="117">
        <f t="shared" si="6"/>
        <v>3.277189143689493</v>
      </c>
    </row>
    <row r="39" spans="1:15" ht="13.5" thickBot="1">
      <c r="A39" s="185" t="s">
        <v>207</v>
      </c>
      <c r="B39" s="128"/>
      <c r="C39" s="128"/>
      <c r="D39" s="186">
        <f>SUM(D36:D38)</f>
        <v>3.9371891436894932</v>
      </c>
      <c r="E39" s="186">
        <f aca="true" t="shared" si="7" ref="E39:O39">SUM(E36:E38)</f>
        <v>4.069189143689493</v>
      </c>
      <c r="F39" s="186">
        <f t="shared" si="7"/>
        <v>4.2011891436894935</v>
      </c>
      <c r="G39" s="186">
        <f t="shared" si="7"/>
        <v>4.333189143689493</v>
      </c>
      <c r="H39" s="186">
        <f t="shared" si="7"/>
        <v>4.465189143689493</v>
      </c>
      <c r="I39" s="186">
        <f t="shared" si="7"/>
        <v>4.5971891436894925</v>
      </c>
      <c r="J39" s="186">
        <f t="shared" si="7"/>
        <v>4.729189143689493</v>
      </c>
      <c r="K39" s="186">
        <f t="shared" si="7"/>
        <v>4.861189143689494</v>
      </c>
      <c r="L39" s="186">
        <f t="shared" si="7"/>
        <v>4.993189143689493</v>
      </c>
      <c r="M39" s="186">
        <f t="shared" si="7"/>
        <v>5.257189143689493</v>
      </c>
      <c r="N39" s="186">
        <f t="shared" si="7"/>
        <v>5.521189143689494</v>
      </c>
      <c r="O39" s="187">
        <f t="shared" si="7"/>
        <v>5.785189143689493</v>
      </c>
    </row>
    <row r="40" spans="1:15" ht="13.5" thickBot="1">
      <c r="A40" s="129" t="s">
        <v>208</v>
      </c>
      <c r="B40" s="130"/>
      <c r="C40" s="130"/>
      <c r="D40" s="131">
        <f>D39*0.75</f>
        <v>2.9528918577671197</v>
      </c>
      <c r="E40" s="131">
        <f aca="true" t="shared" si="8" ref="E40:O40">E39*0.75</f>
        <v>3.05189185776712</v>
      </c>
      <c r="F40" s="131">
        <f t="shared" si="8"/>
        <v>3.15089185776712</v>
      </c>
      <c r="G40" s="131">
        <f t="shared" si="8"/>
        <v>3.24989185776712</v>
      </c>
      <c r="H40" s="131">
        <f t="shared" si="8"/>
        <v>3.3488918577671196</v>
      </c>
      <c r="I40" s="131">
        <f t="shared" si="8"/>
        <v>3.4478918577671194</v>
      </c>
      <c r="J40" s="131">
        <f t="shared" si="8"/>
        <v>3.54689185776712</v>
      </c>
      <c r="K40" s="131">
        <f t="shared" si="8"/>
        <v>3.64589185776712</v>
      </c>
      <c r="L40" s="131">
        <f t="shared" si="8"/>
        <v>3.74489185776712</v>
      </c>
      <c r="M40" s="131">
        <f t="shared" si="8"/>
        <v>3.9428918577671195</v>
      </c>
      <c r="N40" s="131">
        <f t="shared" si="8"/>
        <v>4.14089185776712</v>
      </c>
      <c r="O40" s="132">
        <f t="shared" si="8"/>
        <v>4.33889185776712</v>
      </c>
    </row>
    <row r="44" ht="12.75">
      <c r="A44" s="216" t="s">
        <v>256</v>
      </c>
    </row>
    <row r="45" spans="1:11" ht="12.75">
      <c r="A45" s="222" t="s">
        <v>258</v>
      </c>
      <c r="B45" s="222"/>
      <c r="C45" s="222"/>
      <c r="D45" s="222"/>
      <c r="E45" s="223">
        <f>C4*H45</f>
        <v>2087.26</v>
      </c>
      <c r="F45" s="222"/>
      <c r="G45" s="222" t="s">
        <v>248</v>
      </c>
      <c r="H45" s="224">
        <v>149.09</v>
      </c>
      <c r="I45" s="222" t="s">
        <v>298</v>
      </c>
      <c r="J45" s="222"/>
      <c r="K45" s="222"/>
    </row>
    <row r="46" spans="1:11" ht="12.75">
      <c r="A46" s="222" t="s">
        <v>257</v>
      </c>
      <c r="B46" s="222"/>
      <c r="C46" s="222"/>
      <c r="D46" s="222"/>
      <c r="E46" s="223">
        <f>C4*H46</f>
        <v>938</v>
      </c>
      <c r="F46" s="222"/>
      <c r="G46" s="222" t="s">
        <v>248</v>
      </c>
      <c r="H46" s="225">
        <v>67</v>
      </c>
      <c r="I46" s="222" t="s">
        <v>251</v>
      </c>
      <c r="J46" s="222"/>
      <c r="K46" s="222"/>
    </row>
    <row r="47" spans="1:11" ht="12.75">
      <c r="A47" s="222" t="s">
        <v>250</v>
      </c>
      <c r="B47" s="222"/>
      <c r="C47" s="222"/>
      <c r="D47" s="222"/>
      <c r="E47" s="223">
        <f>C4*H47</f>
        <v>252</v>
      </c>
      <c r="F47" s="222"/>
      <c r="G47" s="222" t="s">
        <v>248</v>
      </c>
      <c r="H47" s="225">
        <v>18</v>
      </c>
      <c r="I47" s="222" t="s">
        <v>251</v>
      </c>
      <c r="J47" s="222"/>
      <c r="K47" s="222"/>
    </row>
    <row r="48" spans="1:5" ht="12.75">
      <c r="A48" t="s">
        <v>249</v>
      </c>
      <c r="E48" s="217">
        <v>600</v>
      </c>
    </row>
    <row r="49" spans="1:9" ht="12.75">
      <c r="A49" t="s">
        <v>254</v>
      </c>
      <c r="E49" s="218">
        <f>H49*Kapital!E2/1000</f>
        <v>674.2575933391407</v>
      </c>
      <c r="G49" t="s">
        <v>253</v>
      </c>
      <c r="H49" s="150">
        <v>0.7</v>
      </c>
      <c r="I49" t="s">
        <v>261</v>
      </c>
    </row>
    <row r="50" spans="1:5" ht="12.75">
      <c r="A50" t="s">
        <v>267</v>
      </c>
      <c r="E50" s="218"/>
    </row>
    <row r="51" spans="1:5" ht="12.75">
      <c r="A51" t="s">
        <v>252</v>
      </c>
      <c r="E51" s="217">
        <v>150</v>
      </c>
    </row>
    <row r="52" spans="1:5" ht="12.75">
      <c r="A52" t="s">
        <v>259</v>
      </c>
      <c r="E52" s="217">
        <v>60</v>
      </c>
    </row>
    <row r="53" spans="1:8" ht="12.75">
      <c r="A53" t="s">
        <v>260</v>
      </c>
      <c r="E53" s="219">
        <f>C4*H53</f>
        <v>329</v>
      </c>
      <c r="G53" t="s">
        <v>248</v>
      </c>
      <c r="H53" s="217">
        <v>23.5</v>
      </c>
    </row>
    <row r="54" spans="1:8" ht="12.75">
      <c r="A54" t="s">
        <v>255</v>
      </c>
      <c r="E54" s="217">
        <f>C10/1000*H54</f>
        <v>378</v>
      </c>
      <c r="G54" t="s">
        <v>191</v>
      </c>
      <c r="H54" s="217">
        <v>3</v>
      </c>
    </row>
    <row r="55" spans="1:5" ht="12.75">
      <c r="A55" t="s">
        <v>263</v>
      </c>
      <c r="E55" s="217">
        <f>12*34</f>
        <v>408</v>
      </c>
    </row>
    <row r="56" spans="1:5" ht="12.75">
      <c r="A56" t="s">
        <v>265</v>
      </c>
      <c r="E56" s="217">
        <v>100</v>
      </c>
    </row>
    <row r="57" spans="1:8" ht="12.75">
      <c r="A57" t="s">
        <v>264</v>
      </c>
      <c r="E57" s="217">
        <f>C10/1000*H57</f>
        <v>1890</v>
      </c>
      <c r="G57" t="s">
        <v>191</v>
      </c>
      <c r="H57" s="217">
        <v>15</v>
      </c>
    </row>
    <row r="58" spans="1:5" ht="12.75">
      <c r="A58" t="s">
        <v>266</v>
      </c>
      <c r="E58" s="217">
        <v>1000</v>
      </c>
    </row>
    <row r="59" spans="1:5" ht="12.75">
      <c r="A59" t="s">
        <v>262</v>
      </c>
      <c r="E59" s="217">
        <v>600</v>
      </c>
    </row>
    <row r="60" spans="1:5" ht="12.75">
      <c r="A60" t="s">
        <v>269</v>
      </c>
      <c r="E60" s="217">
        <v>500</v>
      </c>
    </row>
    <row r="61" spans="1:5" ht="12.75">
      <c r="A61" t="s">
        <v>270</v>
      </c>
      <c r="E61" s="217">
        <v>5000</v>
      </c>
    </row>
    <row r="62" spans="1:5" ht="12.75">
      <c r="A62" t="s">
        <v>271</v>
      </c>
      <c r="E62" s="217">
        <v>2000</v>
      </c>
    </row>
    <row r="63" spans="1:5" ht="12.75">
      <c r="A63" s="150" t="s">
        <v>274</v>
      </c>
      <c r="E63" s="217">
        <v>1000</v>
      </c>
    </row>
    <row r="64" spans="1:5" ht="12.75">
      <c r="A64" s="150" t="s">
        <v>272</v>
      </c>
      <c r="E64" s="217">
        <v>0</v>
      </c>
    </row>
    <row r="65" spans="1:5" ht="12.75">
      <c r="A65" s="150" t="s">
        <v>273</v>
      </c>
      <c r="E65" s="217">
        <v>200</v>
      </c>
    </row>
    <row r="66" spans="1:5" ht="12.75">
      <c r="A66" s="150" t="s">
        <v>272</v>
      </c>
      <c r="E66" s="217">
        <v>0</v>
      </c>
    </row>
    <row r="67" spans="1:5" ht="12.75">
      <c r="A67" s="150" t="s">
        <v>272</v>
      </c>
      <c r="E67" s="217">
        <v>0</v>
      </c>
    </row>
    <row r="68" spans="1:5" ht="12.75">
      <c r="A68" s="216" t="s">
        <v>91</v>
      </c>
      <c r="B68" s="216"/>
      <c r="C68" s="216"/>
      <c r="D68" s="216"/>
      <c r="E68" s="220">
        <f>SUM(E48:E67)</f>
        <v>14889.257593339142</v>
      </c>
    </row>
    <row r="69" spans="1:5" ht="12.75">
      <c r="A69" s="216" t="s">
        <v>268</v>
      </c>
      <c r="B69" s="216"/>
      <c r="C69" s="216"/>
      <c r="D69" s="216"/>
      <c r="E69" s="221">
        <f>E68/(C10/1000)</f>
        <v>118.16871105824715</v>
      </c>
    </row>
  </sheetData>
  <printOptions/>
  <pageMargins left="0.55" right="0.24" top="0.57" bottom="0.52" header="0.33" footer="0.26"/>
  <pageSetup fitToHeight="2" fitToWidth="1" horizontalDpi="300" verticalDpi="300" orientation="landscape" paperSize="9" scale="94" r:id="rId3"/>
  <headerFooter alignWithMargins="0">
    <oddFooter>&amp;L&amp;F &amp;D&amp;C&amp;A &amp;P&amp;RWBI-Freiburg Ref.31 Huber G.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C7" sqref="C7"/>
    </sheetView>
  </sheetViews>
  <sheetFormatPr defaultColWidth="11.421875" defaultRowHeight="12.75"/>
  <cols>
    <col min="5" max="5" width="13.140625" style="0" customWidth="1"/>
    <col min="6" max="6" width="12.7109375" style="0" customWidth="1"/>
  </cols>
  <sheetData>
    <row r="1" ht="18.75" thickBot="1">
      <c r="A1" s="10" t="s">
        <v>44</v>
      </c>
    </row>
    <row r="2" spans="1:6" ht="12.75">
      <c r="A2" s="1"/>
      <c r="B2" s="6"/>
      <c r="C2" s="1" t="s">
        <v>45</v>
      </c>
      <c r="D2" s="6"/>
      <c r="E2" s="1" t="s">
        <v>46</v>
      </c>
      <c r="F2" s="166"/>
    </row>
    <row r="3" spans="1:6" ht="12.75">
      <c r="A3" s="2"/>
      <c r="B3" s="7"/>
      <c r="C3" s="2" t="s">
        <v>47</v>
      </c>
      <c r="D3" s="115"/>
      <c r="E3" s="13">
        <f>Gesamtkosten!C5</f>
        <v>13.32</v>
      </c>
      <c r="F3" s="115" t="s">
        <v>209</v>
      </c>
    </row>
    <row r="4" spans="1:6" ht="13.5" thickBot="1">
      <c r="A4" s="3"/>
      <c r="B4" s="9"/>
      <c r="C4" s="58" t="s">
        <v>27</v>
      </c>
      <c r="D4" s="181" t="s">
        <v>28</v>
      </c>
      <c r="E4" s="58" t="s">
        <v>27</v>
      </c>
      <c r="F4" s="181" t="s">
        <v>28</v>
      </c>
    </row>
    <row r="5" spans="1:6" ht="12.75">
      <c r="A5" s="1" t="s">
        <v>236</v>
      </c>
      <c r="B5" s="6"/>
      <c r="C5" s="210">
        <f>C42</f>
        <v>14.800000000000002</v>
      </c>
      <c r="D5" s="211">
        <f>D42</f>
        <v>12.600000000000001</v>
      </c>
      <c r="E5" s="198">
        <f>C5*$E$3</f>
        <v>197.13600000000002</v>
      </c>
      <c r="F5" s="199">
        <f>D5*$E$3</f>
        <v>167.83200000000002</v>
      </c>
    </row>
    <row r="6" spans="1:6" ht="12.75">
      <c r="A6" s="2" t="s">
        <v>235</v>
      </c>
      <c r="B6" s="7"/>
      <c r="C6" s="165"/>
      <c r="D6" s="167"/>
      <c r="E6" s="198">
        <f aca="true" t="shared" si="0" ref="E6:F18">C6*$E$3</f>
        <v>0</v>
      </c>
      <c r="F6" s="199">
        <f t="shared" si="0"/>
        <v>0</v>
      </c>
    </row>
    <row r="7" spans="1:6" ht="12.75">
      <c r="A7" s="2" t="s">
        <v>49</v>
      </c>
      <c r="B7" s="7"/>
      <c r="C7" s="165">
        <v>3</v>
      </c>
      <c r="D7" s="167">
        <v>2.5</v>
      </c>
      <c r="E7" s="198">
        <f t="shared" si="0"/>
        <v>39.96</v>
      </c>
      <c r="F7" s="199">
        <f t="shared" si="0"/>
        <v>33.3</v>
      </c>
    </row>
    <row r="8" spans="1:6" ht="12.75">
      <c r="A8" s="2" t="s">
        <v>50</v>
      </c>
      <c r="B8" s="7"/>
      <c r="C8" s="165">
        <v>3.7</v>
      </c>
      <c r="D8" s="167">
        <v>3</v>
      </c>
      <c r="E8" s="198">
        <f t="shared" si="0"/>
        <v>49.284000000000006</v>
      </c>
      <c r="F8" s="199">
        <f t="shared" si="0"/>
        <v>39.96</v>
      </c>
    </row>
    <row r="9" spans="1:6" ht="12.75">
      <c r="A9" s="2" t="s">
        <v>239</v>
      </c>
      <c r="B9" s="7"/>
      <c r="C9" s="165">
        <v>1.6</v>
      </c>
      <c r="D9" s="167">
        <v>1.1</v>
      </c>
      <c r="E9" s="198">
        <f t="shared" si="0"/>
        <v>21.312</v>
      </c>
      <c r="F9" s="199">
        <f t="shared" si="0"/>
        <v>14.652000000000001</v>
      </c>
    </row>
    <row r="10" spans="1:6" ht="12.75">
      <c r="A10" s="2" t="s">
        <v>241</v>
      </c>
      <c r="B10" s="7"/>
      <c r="C10" s="165">
        <v>2.5</v>
      </c>
      <c r="D10" s="167">
        <v>3</v>
      </c>
      <c r="E10" s="198">
        <f t="shared" si="0"/>
        <v>33.3</v>
      </c>
      <c r="F10" s="199">
        <f t="shared" si="0"/>
        <v>39.96</v>
      </c>
    </row>
    <row r="11" spans="1:6" ht="12.75">
      <c r="A11" s="2" t="s">
        <v>51</v>
      </c>
      <c r="B11" s="7"/>
      <c r="C11" s="165">
        <v>8</v>
      </c>
      <c r="D11" s="167">
        <v>6</v>
      </c>
      <c r="E11" s="198">
        <f t="shared" si="0"/>
        <v>106.56</v>
      </c>
      <c r="F11" s="199">
        <f t="shared" si="0"/>
        <v>79.92</v>
      </c>
    </row>
    <row r="12" spans="1:6" ht="12.75">
      <c r="A12" s="2" t="s">
        <v>52</v>
      </c>
      <c r="B12" s="7"/>
      <c r="C12" s="165">
        <v>12</v>
      </c>
      <c r="D12" s="167">
        <v>8</v>
      </c>
      <c r="E12" s="198">
        <f t="shared" si="0"/>
        <v>159.84</v>
      </c>
      <c r="F12" s="199">
        <f t="shared" si="0"/>
        <v>106.56</v>
      </c>
    </row>
    <row r="13" spans="1:6" ht="12.75">
      <c r="A13" s="2" t="s">
        <v>53</v>
      </c>
      <c r="B13" s="7"/>
      <c r="C13" s="165">
        <v>40</v>
      </c>
      <c r="D13" s="167">
        <v>30</v>
      </c>
      <c r="E13" s="198">
        <f t="shared" si="0"/>
        <v>532.8</v>
      </c>
      <c r="F13" s="199">
        <f t="shared" si="0"/>
        <v>399.6</v>
      </c>
    </row>
    <row r="14" spans="1:6" ht="12.75">
      <c r="A14" s="2" t="s">
        <v>54</v>
      </c>
      <c r="B14" s="7"/>
      <c r="C14" s="165"/>
      <c r="D14" s="167"/>
      <c r="E14" s="198">
        <f t="shared" si="0"/>
        <v>0</v>
      </c>
      <c r="F14" s="199">
        <f t="shared" si="0"/>
        <v>0</v>
      </c>
    </row>
    <row r="15" spans="1:6" ht="12.75">
      <c r="A15" s="2" t="s">
        <v>242</v>
      </c>
      <c r="B15" s="7"/>
      <c r="C15" s="165"/>
      <c r="D15" s="167"/>
      <c r="E15" s="198">
        <f>C15*$E$3</f>
        <v>0</v>
      </c>
      <c r="F15" s="199">
        <f>D15*$E$3</f>
        <v>0</v>
      </c>
    </row>
    <row r="16" spans="1:6" ht="12.75">
      <c r="A16" s="2" t="s">
        <v>240</v>
      </c>
      <c r="B16" s="7"/>
      <c r="C16" s="165"/>
      <c r="D16" s="167"/>
      <c r="E16" s="198">
        <f>C16*$E$3</f>
        <v>0</v>
      </c>
      <c r="F16" s="199">
        <f>D16*$E$3</f>
        <v>0</v>
      </c>
    </row>
    <row r="17" spans="1:6" ht="13.5" thickBot="1">
      <c r="A17" s="3" t="s">
        <v>55</v>
      </c>
      <c r="B17" s="9"/>
      <c r="C17" s="165">
        <v>4</v>
      </c>
      <c r="D17" s="167">
        <v>6</v>
      </c>
      <c r="E17" s="198">
        <f t="shared" si="0"/>
        <v>53.28</v>
      </c>
      <c r="F17" s="199">
        <f t="shared" si="0"/>
        <v>79.92</v>
      </c>
    </row>
    <row r="18" spans="1:6" ht="13.5" thickBot="1">
      <c r="A18" s="4" t="s">
        <v>56</v>
      </c>
      <c r="B18" s="5"/>
      <c r="C18" s="8">
        <f>SUM(C5:C17)</f>
        <v>89.60000000000001</v>
      </c>
      <c r="D18" s="168">
        <f>SUM(D5:D17)</f>
        <v>72.2</v>
      </c>
      <c r="E18" s="200">
        <f t="shared" si="0"/>
        <v>1193.4720000000002</v>
      </c>
      <c r="F18" s="201">
        <f t="shared" si="0"/>
        <v>961.7040000000001</v>
      </c>
    </row>
    <row r="19" spans="1:6" ht="12.75">
      <c r="A19" s="1" t="s">
        <v>57</v>
      </c>
      <c r="B19" s="26"/>
      <c r="C19" s="26"/>
      <c r="D19" s="6"/>
      <c r="E19" s="202">
        <f>E18/1000</f>
        <v>1.1934720000000003</v>
      </c>
      <c r="F19" s="203">
        <f>F18/1000</f>
        <v>0.9617040000000001</v>
      </c>
    </row>
    <row r="20" spans="1:6" ht="13.5" thickBot="1">
      <c r="A20" s="3" t="s">
        <v>58</v>
      </c>
      <c r="B20" s="33"/>
      <c r="C20" s="33"/>
      <c r="D20" s="9"/>
      <c r="E20" s="204">
        <f>E18/1333</f>
        <v>0.8953278319579897</v>
      </c>
      <c r="F20" s="205">
        <f>F18/1000</f>
        <v>0.9617040000000001</v>
      </c>
    </row>
    <row r="26" ht="13.5" thickBot="1">
      <c r="C26" t="s">
        <v>238</v>
      </c>
    </row>
    <row r="27" spans="1:4" ht="13.5" thickBot="1">
      <c r="A27" s="1" t="s">
        <v>48</v>
      </c>
      <c r="C27" t="s">
        <v>234</v>
      </c>
      <c r="D27" t="s">
        <v>237</v>
      </c>
    </row>
    <row r="28" spans="1:4" ht="12.75">
      <c r="A28" s="1" t="s">
        <v>220</v>
      </c>
      <c r="B28" s="6"/>
      <c r="C28" s="162">
        <v>0.5</v>
      </c>
      <c r="D28" s="206">
        <v>0.5</v>
      </c>
    </row>
    <row r="29" spans="1:4" ht="12.75">
      <c r="A29" s="2" t="s">
        <v>221</v>
      </c>
      <c r="B29" s="7"/>
      <c r="C29" s="161">
        <v>0.4</v>
      </c>
      <c r="D29" s="207">
        <v>0.4</v>
      </c>
    </row>
    <row r="30" spans="1:4" ht="12.75">
      <c r="A30" s="2" t="s">
        <v>222</v>
      </c>
      <c r="B30" s="7"/>
      <c r="C30" s="161">
        <v>2.7</v>
      </c>
      <c r="D30" s="207">
        <v>1.6</v>
      </c>
    </row>
    <row r="31" spans="1:4" ht="12.75">
      <c r="A31" s="2" t="s">
        <v>223</v>
      </c>
      <c r="B31" s="7"/>
      <c r="C31" s="161">
        <v>1.2</v>
      </c>
      <c r="D31" s="207">
        <v>0.8</v>
      </c>
    </row>
    <row r="32" spans="1:4" ht="12.75">
      <c r="A32" s="2" t="s">
        <v>226</v>
      </c>
      <c r="B32" s="7"/>
      <c r="C32" s="161">
        <v>1</v>
      </c>
      <c r="D32" s="207">
        <v>0.6</v>
      </c>
    </row>
    <row r="33" spans="1:4" ht="12.75">
      <c r="A33" s="2" t="s">
        <v>225</v>
      </c>
      <c r="B33" s="7"/>
      <c r="C33" s="161">
        <v>0</v>
      </c>
      <c r="D33" s="207">
        <v>0.8</v>
      </c>
    </row>
    <row r="34" spans="1:4" ht="12.75">
      <c r="A34" s="2" t="s">
        <v>227</v>
      </c>
      <c r="B34" s="7"/>
      <c r="C34" s="161">
        <v>0.4</v>
      </c>
      <c r="D34" s="207">
        <v>0.2</v>
      </c>
    </row>
    <row r="35" spans="1:4" ht="12.75">
      <c r="A35" s="2" t="s">
        <v>224</v>
      </c>
      <c r="B35" s="7"/>
      <c r="C35" s="161">
        <v>2.1</v>
      </c>
      <c r="D35" s="207">
        <v>2.1</v>
      </c>
    </row>
    <row r="36" spans="1:4" ht="12.75">
      <c r="A36" s="2" t="s">
        <v>229</v>
      </c>
      <c r="B36" s="7"/>
      <c r="C36" s="161">
        <v>1.4</v>
      </c>
      <c r="D36" s="207">
        <v>1</v>
      </c>
    </row>
    <row r="37" spans="1:4" ht="12.75">
      <c r="A37" s="2" t="s">
        <v>230</v>
      </c>
      <c r="B37" s="7"/>
      <c r="C37" s="161">
        <v>0.4</v>
      </c>
      <c r="D37" s="207">
        <v>0.4</v>
      </c>
    </row>
    <row r="38" spans="1:4" ht="12.75">
      <c r="A38" s="2" t="s">
        <v>231</v>
      </c>
      <c r="B38" s="7"/>
      <c r="C38" s="161">
        <v>3</v>
      </c>
      <c r="D38" s="207">
        <v>2.7</v>
      </c>
    </row>
    <row r="39" spans="1:4" ht="12.75">
      <c r="A39" s="2" t="s">
        <v>232</v>
      </c>
      <c r="B39" s="7"/>
      <c r="C39" s="161">
        <v>0.8</v>
      </c>
      <c r="D39" s="207">
        <v>0.6</v>
      </c>
    </row>
    <row r="40" spans="1:4" ht="12.75">
      <c r="A40" s="2" t="s">
        <v>233</v>
      </c>
      <c r="B40" s="7"/>
      <c r="C40" s="208">
        <v>0</v>
      </c>
      <c r="D40" s="207">
        <v>0</v>
      </c>
    </row>
    <row r="41" spans="1:4" ht="13.5" thickBot="1">
      <c r="A41" s="3" t="s">
        <v>228</v>
      </c>
      <c r="B41" s="9"/>
      <c r="C41" s="209">
        <v>0.9</v>
      </c>
      <c r="D41" s="154">
        <v>0.9</v>
      </c>
    </row>
    <row r="42" spans="1:4" ht="13.5" thickBot="1">
      <c r="A42" s="3" t="s">
        <v>91</v>
      </c>
      <c r="B42" s="33"/>
      <c r="C42" s="33">
        <f>SUM(C28:C41)</f>
        <v>14.800000000000002</v>
      </c>
      <c r="D42" s="9">
        <f>SUM(D28:D41)</f>
        <v>12.600000000000001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r:id="rId3"/>
  <headerFooter alignWithMargins="0">
    <oddFooter>&amp;L&amp;F &amp;D&amp;C&amp;A &amp;P&amp;RWBI-Freiburg Ref.31 Huber G.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workbookViewId="0" topLeftCell="A1">
      <selection activeCell="G5" sqref="G5"/>
    </sheetView>
  </sheetViews>
  <sheetFormatPr defaultColWidth="11.421875" defaultRowHeight="12.75"/>
  <cols>
    <col min="6" max="6" width="12.421875" style="0" bestFit="1" customWidth="1"/>
    <col min="8" max="8" width="7.140625" style="0" customWidth="1"/>
    <col min="9" max="9" width="7.7109375" style="0" customWidth="1"/>
    <col min="10" max="10" width="7.8515625" style="0" customWidth="1"/>
    <col min="11" max="11" width="13.7109375" style="0" customWidth="1"/>
  </cols>
  <sheetData>
    <row r="2" ht="18.75" thickBot="1">
      <c r="A2" s="14" t="s">
        <v>59</v>
      </c>
    </row>
    <row r="3" spans="1:11" ht="13.5" thickBot="1">
      <c r="A3" s="17">
        <f>Gesamtkosten!C4</f>
        <v>14</v>
      </c>
      <c r="B3" s="18" t="s">
        <v>60</v>
      </c>
      <c r="C3" s="19" t="s">
        <v>61</v>
      </c>
      <c r="D3" s="20">
        <f>Gesamtkosten!C11</f>
        <v>252000</v>
      </c>
      <c r="E3" s="20" t="s">
        <v>62</v>
      </c>
      <c r="F3" s="21"/>
      <c r="G3" s="1" t="s">
        <v>63</v>
      </c>
      <c r="H3" s="25" t="s">
        <v>64</v>
      </c>
      <c r="I3" s="6"/>
      <c r="J3" s="30" t="s">
        <v>65</v>
      </c>
      <c r="K3" s="6"/>
    </row>
    <row r="4" spans="1:11" ht="13.5" thickBot="1">
      <c r="A4" s="169"/>
      <c r="B4" s="23"/>
      <c r="C4" s="22"/>
      <c r="D4" s="24"/>
      <c r="E4" s="24"/>
      <c r="F4" s="170"/>
      <c r="G4" s="58" t="s">
        <v>66</v>
      </c>
      <c r="H4" s="28" t="s">
        <v>67</v>
      </c>
      <c r="I4" s="29" t="s">
        <v>68</v>
      </c>
      <c r="J4" s="58" t="s">
        <v>212</v>
      </c>
      <c r="K4" s="29" t="s">
        <v>213</v>
      </c>
    </row>
    <row r="5" spans="1:11" ht="12.75">
      <c r="A5" s="70" t="s">
        <v>69</v>
      </c>
      <c r="B5" s="26"/>
      <c r="C5" s="26"/>
      <c r="D5" s="26"/>
      <c r="E5" s="26"/>
      <c r="F5" s="6"/>
      <c r="G5" s="157">
        <v>100</v>
      </c>
      <c r="H5" s="162">
        <v>4</v>
      </c>
      <c r="I5" s="49">
        <f aca="true" t="shared" si="0" ref="I5:I20">(G5*H5)</f>
        <v>400</v>
      </c>
      <c r="J5" s="159">
        <v>160</v>
      </c>
      <c r="K5" s="31">
        <f aca="true" t="shared" si="1" ref="K5:K20">(I5*J5)</f>
        <v>64000</v>
      </c>
    </row>
    <row r="6" spans="1:11" ht="13.5" thickBot="1">
      <c r="A6" s="32" t="s">
        <v>70</v>
      </c>
      <c r="B6" s="33"/>
      <c r="C6" s="33"/>
      <c r="D6" s="33"/>
      <c r="E6" s="33"/>
      <c r="F6" s="9"/>
      <c r="G6" s="158"/>
      <c r="H6" s="33"/>
      <c r="I6" s="51"/>
      <c r="J6" s="152"/>
      <c r="K6" s="34"/>
    </row>
    <row r="7" spans="1:11" ht="12.75">
      <c r="A7" s="70" t="s">
        <v>71</v>
      </c>
      <c r="B7" s="26"/>
      <c r="C7" s="26"/>
      <c r="D7" s="26"/>
      <c r="E7" s="26" t="s">
        <v>72</v>
      </c>
      <c r="F7" s="89" t="s">
        <v>73</v>
      </c>
      <c r="G7" s="52" t="s">
        <v>74</v>
      </c>
      <c r="H7" s="26"/>
      <c r="I7" s="49"/>
      <c r="J7" s="59"/>
      <c r="K7" s="31"/>
    </row>
    <row r="8" spans="1:11" ht="12.75">
      <c r="A8" s="45">
        <f>100-A9</f>
        <v>10</v>
      </c>
      <c r="B8" s="44" t="s">
        <v>75</v>
      </c>
      <c r="C8" s="44" t="s">
        <v>76</v>
      </c>
      <c r="D8" s="46">
        <f>D3*A8%</f>
        <v>25200</v>
      </c>
      <c r="E8" s="48">
        <f>D8/1000</f>
        <v>25.2</v>
      </c>
      <c r="F8" s="230">
        <f>H38/(F38/1000)</f>
        <v>7.247524752475248</v>
      </c>
      <c r="G8" s="53">
        <f>(D8/1000*F8)</f>
        <v>182.63762376237625</v>
      </c>
      <c r="H8" s="43">
        <v>4</v>
      </c>
      <c r="I8" s="54">
        <f t="shared" si="0"/>
        <v>730.550495049505</v>
      </c>
      <c r="J8" s="156">
        <v>200</v>
      </c>
      <c r="K8" s="47">
        <f t="shared" si="1"/>
        <v>146110.099009901</v>
      </c>
    </row>
    <row r="9" spans="1:11" ht="13.5" thickBot="1">
      <c r="A9" s="163">
        <v>90</v>
      </c>
      <c r="B9" s="39" t="s">
        <v>77</v>
      </c>
      <c r="C9" s="39" t="s">
        <v>78</v>
      </c>
      <c r="D9" s="40">
        <f>D3*A9%</f>
        <v>226800</v>
      </c>
      <c r="E9" s="41">
        <f>D9/5000</f>
        <v>45.36</v>
      </c>
      <c r="F9" s="231">
        <f>H44/(F44/1000)</f>
        <v>2.1728665207877462</v>
      </c>
      <c r="G9" s="50">
        <f>(D9/1000*F9)</f>
        <v>492.80612691466087</v>
      </c>
      <c r="H9" s="33">
        <v>4</v>
      </c>
      <c r="I9" s="51">
        <f t="shared" si="0"/>
        <v>1971.2245076586435</v>
      </c>
      <c r="J9" s="152">
        <v>200</v>
      </c>
      <c r="K9" s="34">
        <f t="shared" si="1"/>
        <v>394244.9015317287</v>
      </c>
    </row>
    <row r="10" spans="1:11" ht="12.75">
      <c r="A10" s="70" t="s">
        <v>79</v>
      </c>
      <c r="B10" s="26"/>
      <c r="C10" s="71" t="s">
        <v>80</v>
      </c>
      <c r="D10" s="26"/>
      <c r="E10" s="27" t="s">
        <v>74</v>
      </c>
      <c r="F10" s="69"/>
      <c r="G10" s="55"/>
      <c r="H10" s="26"/>
      <c r="I10" s="49"/>
      <c r="J10" s="59"/>
      <c r="K10" s="31"/>
    </row>
    <row r="11" spans="1:11" ht="12.75">
      <c r="A11" s="42" t="s">
        <v>81</v>
      </c>
      <c r="B11" s="37"/>
      <c r="C11" s="36" t="s">
        <v>82</v>
      </c>
      <c r="D11" s="37">
        <f>Gesamtkosten!C10*1.5</f>
        <v>189000</v>
      </c>
      <c r="E11" s="35" t="s">
        <v>74</v>
      </c>
      <c r="F11" s="91" t="s">
        <v>83</v>
      </c>
      <c r="G11" s="56"/>
      <c r="H11" s="37"/>
      <c r="I11" s="57"/>
      <c r="J11" s="61"/>
      <c r="K11" s="38"/>
    </row>
    <row r="12" spans="1:11" ht="12.75">
      <c r="A12" s="45">
        <f>100-A13</f>
        <v>60</v>
      </c>
      <c r="B12" s="44" t="s">
        <v>84</v>
      </c>
      <c r="C12" s="46" t="s">
        <v>85</v>
      </c>
      <c r="D12" s="46">
        <f>(D11*A12%)*1.333</f>
        <v>151162.19999999998</v>
      </c>
      <c r="E12" s="48">
        <f>D12/600</f>
        <v>251.93699999999998</v>
      </c>
      <c r="F12" s="153">
        <v>1.8</v>
      </c>
      <c r="G12" s="53">
        <f>(D12/1000*F12)</f>
        <v>272.09196</v>
      </c>
      <c r="H12" s="43">
        <v>4</v>
      </c>
      <c r="I12" s="54">
        <f t="shared" si="0"/>
        <v>1088.36784</v>
      </c>
      <c r="J12" s="156">
        <v>170</v>
      </c>
      <c r="K12" s="47">
        <f t="shared" si="1"/>
        <v>185022.5328</v>
      </c>
    </row>
    <row r="13" spans="1:11" ht="13.5" thickBot="1">
      <c r="A13" s="164">
        <v>40</v>
      </c>
      <c r="B13" s="39" t="s">
        <v>86</v>
      </c>
      <c r="C13" s="40" t="s">
        <v>85</v>
      </c>
      <c r="D13" s="40">
        <f>D11*A13%</f>
        <v>75600</v>
      </c>
      <c r="E13" s="41">
        <f>D13/500</f>
        <v>151.2</v>
      </c>
      <c r="F13" s="154">
        <v>2.2</v>
      </c>
      <c r="G13" s="50">
        <f>(D13/1000*F13)</f>
        <v>166.32</v>
      </c>
      <c r="H13" s="33">
        <v>4</v>
      </c>
      <c r="I13" s="51">
        <f t="shared" si="0"/>
        <v>665.28</v>
      </c>
      <c r="J13" s="152">
        <v>170</v>
      </c>
      <c r="K13" s="34">
        <f t="shared" si="1"/>
        <v>113097.59999999999</v>
      </c>
    </row>
    <row r="14" spans="1:11" ht="12.75">
      <c r="A14" s="171"/>
      <c r="B14" s="43"/>
      <c r="C14" s="43"/>
      <c r="D14" s="43"/>
      <c r="E14" s="43"/>
      <c r="F14" s="172"/>
      <c r="G14" s="155">
        <f>(E14*F14)</f>
        <v>0</v>
      </c>
      <c r="H14" s="192"/>
      <c r="I14" s="54">
        <f t="shared" si="0"/>
        <v>0</v>
      </c>
      <c r="J14" s="156"/>
      <c r="K14" s="47">
        <f t="shared" si="1"/>
        <v>0</v>
      </c>
    </row>
    <row r="15" spans="1:11" ht="12.75">
      <c r="A15" s="173" t="s">
        <v>87</v>
      </c>
      <c r="B15" s="43"/>
      <c r="C15" s="43"/>
      <c r="D15" s="43"/>
      <c r="E15" s="44" t="s">
        <v>74</v>
      </c>
      <c r="F15" s="172"/>
      <c r="G15" s="155">
        <v>45</v>
      </c>
      <c r="H15" s="192">
        <v>3</v>
      </c>
      <c r="I15" s="54">
        <f t="shared" si="0"/>
        <v>135</v>
      </c>
      <c r="J15" s="156">
        <v>280</v>
      </c>
      <c r="K15" s="47">
        <f t="shared" si="1"/>
        <v>37800</v>
      </c>
    </row>
    <row r="16" spans="1:11" ht="12" customHeight="1">
      <c r="A16" s="173" t="s">
        <v>88</v>
      </c>
      <c r="B16" s="43"/>
      <c r="C16" s="43"/>
      <c r="D16" s="43"/>
      <c r="E16" s="44" t="s">
        <v>74</v>
      </c>
      <c r="F16" s="172"/>
      <c r="G16" s="155">
        <v>45</v>
      </c>
      <c r="H16" s="192">
        <v>3</v>
      </c>
      <c r="I16" s="54">
        <f t="shared" si="0"/>
        <v>135</v>
      </c>
      <c r="J16" s="156">
        <v>170</v>
      </c>
      <c r="K16" s="47">
        <f t="shared" si="1"/>
        <v>22950</v>
      </c>
    </row>
    <row r="17" spans="1:11" ht="12.75">
      <c r="A17" s="60"/>
      <c r="B17" s="43"/>
      <c r="C17" s="43"/>
      <c r="D17" s="43"/>
      <c r="E17" s="43"/>
      <c r="F17" s="172"/>
      <c r="G17" s="155">
        <f aca="true" t="shared" si="2" ref="G17:G22">(E17*F17)</f>
        <v>0</v>
      </c>
      <c r="H17" s="192"/>
      <c r="I17" s="54">
        <f t="shared" si="0"/>
        <v>0</v>
      </c>
      <c r="J17" s="156"/>
      <c r="K17" s="47">
        <f t="shared" si="1"/>
        <v>0</v>
      </c>
    </row>
    <row r="18" spans="1:11" ht="12.75">
      <c r="A18" s="60"/>
      <c r="B18" s="43"/>
      <c r="C18" s="43"/>
      <c r="D18" s="43"/>
      <c r="E18" s="43"/>
      <c r="F18" s="172"/>
      <c r="G18" s="155">
        <f t="shared" si="2"/>
        <v>0</v>
      </c>
      <c r="H18" s="192"/>
      <c r="I18" s="54">
        <f t="shared" si="0"/>
        <v>0</v>
      </c>
      <c r="J18" s="156"/>
      <c r="K18" s="47">
        <f t="shared" si="1"/>
        <v>0</v>
      </c>
    </row>
    <row r="19" spans="1:11" ht="12.75">
      <c r="A19" s="174" t="s">
        <v>89</v>
      </c>
      <c r="B19" s="43"/>
      <c r="C19" s="43"/>
      <c r="D19" s="43"/>
      <c r="E19" s="43"/>
      <c r="F19" s="172"/>
      <c r="G19" s="155">
        <v>0</v>
      </c>
      <c r="H19" s="192"/>
      <c r="I19" s="54">
        <f t="shared" si="0"/>
        <v>0</v>
      </c>
      <c r="J19" s="156">
        <v>282</v>
      </c>
      <c r="K19" s="47">
        <f t="shared" si="1"/>
        <v>0</v>
      </c>
    </row>
    <row r="20" spans="1:11" ht="12.75">
      <c r="A20" s="174" t="s">
        <v>90</v>
      </c>
      <c r="B20" s="43"/>
      <c r="C20" s="43"/>
      <c r="D20" s="43"/>
      <c r="E20" s="43"/>
      <c r="F20" s="172"/>
      <c r="G20" s="155">
        <f t="shared" si="2"/>
        <v>0</v>
      </c>
      <c r="H20" s="192"/>
      <c r="I20" s="54">
        <f t="shared" si="0"/>
        <v>0</v>
      </c>
      <c r="J20" s="156"/>
      <c r="K20" s="47">
        <f t="shared" si="1"/>
        <v>0</v>
      </c>
    </row>
    <row r="21" spans="1:11" ht="12.75">
      <c r="A21" s="60"/>
      <c r="B21" s="43"/>
      <c r="C21" s="43"/>
      <c r="D21" s="43"/>
      <c r="E21" s="43"/>
      <c r="F21" s="172"/>
      <c r="G21" s="155">
        <f t="shared" si="2"/>
        <v>0</v>
      </c>
      <c r="H21" s="192"/>
      <c r="I21" s="54">
        <f>(G21*H21)</f>
        <v>0</v>
      </c>
      <c r="J21" s="156"/>
      <c r="K21" s="47">
        <f>(I21*J21)</f>
        <v>0</v>
      </c>
    </row>
    <row r="22" spans="1:11" ht="13.5" thickBot="1">
      <c r="A22" s="60"/>
      <c r="B22" s="43"/>
      <c r="C22" s="43"/>
      <c r="D22" s="43"/>
      <c r="E22" s="43"/>
      <c r="F22" s="172"/>
      <c r="G22" s="155">
        <f t="shared" si="2"/>
        <v>0</v>
      </c>
      <c r="H22" s="192"/>
      <c r="I22" s="54">
        <f>(G22*H22)</f>
        <v>0</v>
      </c>
      <c r="J22" s="156"/>
      <c r="K22" s="47">
        <f>(I22*J22)</f>
        <v>0</v>
      </c>
    </row>
    <row r="23" spans="1:11" ht="16.5" thickBot="1">
      <c r="A23" s="62" t="s">
        <v>91</v>
      </c>
      <c r="B23" s="63"/>
      <c r="C23" s="63"/>
      <c r="D23" s="63"/>
      <c r="E23" s="64" t="s">
        <v>74</v>
      </c>
      <c r="F23" s="175" t="s">
        <v>74</v>
      </c>
      <c r="G23" s="65">
        <f>SUM(G5:G22)</f>
        <v>1303.855710677037</v>
      </c>
      <c r="H23" s="64" t="s">
        <v>74</v>
      </c>
      <c r="I23" s="66">
        <f>SUM(I5:I22)</f>
        <v>5125.422842708148</v>
      </c>
      <c r="J23" s="67"/>
      <c r="K23" s="68">
        <f>SUM(K5:K22)</f>
        <v>963225.1333416296</v>
      </c>
    </row>
    <row r="25" spans="1:6" ht="12.75">
      <c r="A25" s="11"/>
      <c r="D25" s="11"/>
      <c r="F25" s="11"/>
    </row>
    <row r="26" spans="1:6" ht="12.75">
      <c r="A26" s="11"/>
      <c r="B26" s="11"/>
      <c r="C26" s="11"/>
      <c r="D26" s="11"/>
      <c r="E26" s="11"/>
      <c r="F26" s="11"/>
    </row>
    <row r="27" spans="1:6" ht="13.5" thickBot="1">
      <c r="A27" s="11"/>
      <c r="D27" s="11"/>
      <c r="F27" s="11"/>
    </row>
    <row r="28" spans="1:11" ht="12.75">
      <c r="A28" s="70" t="s">
        <v>92</v>
      </c>
      <c r="B28" s="26"/>
      <c r="C28" s="26"/>
      <c r="D28" s="25" t="s">
        <v>93</v>
      </c>
      <c r="E28" s="25" t="s">
        <v>94</v>
      </c>
      <c r="F28" s="25" t="s">
        <v>95</v>
      </c>
      <c r="G28" s="1"/>
      <c r="H28" s="6"/>
      <c r="I28" s="6"/>
      <c r="J28" s="88" t="s">
        <v>214</v>
      </c>
      <c r="K28" s="89" t="s">
        <v>213</v>
      </c>
    </row>
    <row r="29" spans="1:11" ht="13.5" thickBot="1">
      <c r="A29" s="3"/>
      <c r="B29" s="33"/>
      <c r="C29" s="33"/>
      <c r="D29" s="33"/>
      <c r="E29" s="33"/>
      <c r="F29" s="33"/>
      <c r="G29" s="58" t="s">
        <v>73</v>
      </c>
      <c r="H29" s="29" t="s">
        <v>96</v>
      </c>
      <c r="I29" s="79" t="s">
        <v>211</v>
      </c>
      <c r="J29" s="90" t="s">
        <v>97</v>
      </c>
      <c r="K29" s="91" t="s">
        <v>95</v>
      </c>
    </row>
    <row r="30" spans="1:11" ht="12.75">
      <c r="A30" s="70" t="s">
        <v>98</v>
      </c>
      <c r="B30" s="26"/>
      <c r="C30" s="26"/>
      <c r="D30" s="162">
        <v>0</v>
      </c>
      <c r="E30" s="26">
        <v>5000</v>
      </c>
      <c r="F30" s="26">
        <f aca="true" t="shared" si="3" ref="F30:F35">(D30*E30)</f>
        <v>0</v>
      </c>
      <c r="G30" s="2">
        <v>2</v>
      </c>
      <c r="H30" s="6">
        <f aca="true" t="shared" si="4" ref="H30:H35">F30/1000*G30</f>
        <v>0</v>
      </c>
      <c r="I30" s="82">
        <f aca="true" t="shared" si="5" ref="I30:I35">J30/E30</f>
        <v>2</v>
      </c>
      <c r="J30" s="75">
        <v>10000</v>
      </c>
      <c r="K30" s="6">
        <f aca="true" t="shared" si="6" ref="K30:K35">(D30*J30)</f>
        <v>0</v>
      </c>
    </row>
    <row r="31" spans="1:11" ht="12.75">
      <c r="A31" s="42"/>
      <c r="B31" s="37"/>
      <c r="C31" s="37"/>
      <c r="D31" s="161">
        <v>0</v>
      </c>
      <c r="E31" s="37">
        <v>2400</v>
      </c>
      <c r="F31" s="37">
        <f t="shared" si="3"/>
        <v>0</v>
      </c>
      <c r="G31" s="2">
        <v>3</v>
      </c>
      <c r="H31" s="7">
        <f t="shared" si="4"/>
        <v>0</v>
      </c>
      <c r="I31" s="83">
        <f t="shared" si="5"/>
        <v>2.2083333333333335</v>
      </c>
      <c r="J31" s="76">
        <v>5300</v>
      </c>
      <c r="K31" s="7">
        <f t="shared" si="6"/>
        <v>0</v>
      </c>
    </row>
    <row r="32" spans="1:11" ht="12.75">
      <c r="A32" s="73" t="s">
        <v>99</v>
      </c>
      <c r="B32" s="72">
        <f>D8</f>
        <v>25200</v>
      </c>
      <c r="C32" s="37"/>
      <c r="D32" s="161">
        <v>5</v>
      </c>
      <c r="E32" s="37">
        <v>1200</v>
      </c>
      <c r="F32" s="37">
        <f t="shared" si="3"/>
        <v>6000</v>
      </c>
      <c r="G32" s="2">
        <v>5</v>
      </c>
      <c r="H32" s="7">
        <f t="shared" si="4"/>
        <v>30</v>
      </c>
      <c r="I32" s="83">
        <f t="shared" si="5"/>
        <v>2.25</v>
      </c>
      <c r="J32" s="76">
        <v>2700</v>
      </c>
      <c r="K32" s="7">
        <f t="shared" si="6"/>
        <v>13500</v>
      </c>
    </row>
    <row r="33" spans="1:11" ht="12.75">
      <c r="A33" s="2"/>
      <c r="B33" s="37"/>
      <c r="C33" s="37"/>
      <c r="D33" s="161">
        <v>11</v>
      </c>
      <c r="E33" s="37">
        <v>1000</v>
      </c>
      <c r="F33" s="37">
        <f t="shared" si="3"/>
        <v>11000</v>
      </c>
      <c r="G33" s="2">
        <v>6</v>
      </c>
      <c r="H33" s="7">
        <f t="shared" si="4"/>
        <v>66</v>
      </c>
      <c r="I33" s="83">
        <f t="shared" si="5"/>
        <v>2.4</v>
      </c>
      <c r="J33" s="76">
        <v>2400</v>
      </c>
      <c r="K33" s="7">
        <f t="shared" si="6"/>
        <v>26400</v>
      </c>
    </row>
    <row r="34" spans="1:11" ht="12.75">
      <c r="A34" s="2"/>
      <c r="B34" s="37"/>
      <c r="C34" s="37"/>
      <c r="D34" s="161">
        <v>10</v>
      </c>
      <c r="E34" s="37">
        <v>600</v>
      </c>
      <c r="F34" s="37">
        <f t="shared" si="3"/>
        <v>6000</v>
      </c>
      <c r="G34" s="2">
        <v>7</v>
      </c>
      <c r="H34" s="7">
        <f t="shared" si="4"/>
        <v>42</v>
      </c>
      <c r="I34" s="83">
        <f t="shared" si="5"/>
        <v>2.5</v>
      </c>
      <c r="J34" s="76">
        <v>1500</v>
      </c>
      <c r="K34" s="7">
        <f t="shared" si="6"/>
        <v>15000</v>
      </c>
    </row>
    <row r="35" spans="1:11" ht="13.5" thickBot="1">
      <c r="A35" s="2"/>
      <c r="B35" s="37"/>
      <c r="C35" s="37"/>
      <c r="D35" s="161">
        <v>0</v>
      </c>
      <c r="E35" s="37">
        <v>500</v>
      </c>
      <c r="F35" s="37">
        <f t="shared" si="3"/>
        <v>0</v>
      </c>
      <c r="G35" s="2">
        <v>8</v>
      </c>
      <c r="H35" s="7">
        <f t="shared" si="4"/>
        <v>0</v>
      </c>
      <c r="I35" s="83">
        <f t="shared" si="5"/>
        <v>2.8</v>
      </c>
      <c r="J35" s="76">
        <v>1400</v>
      </c>
      <c r="K35" s="7">
        <f t="shared" si="6"/>
        <v>0</v>
      </c>
    </row>
    <row r="36" spans="1:13" ht="13.5" thickBot="1">
      <c r="A36" s="4"/>
      <c r="B36" s="5" t="s">
        <v>280</v>
      </c>
      <c r="C36" s="5"/>
      <c r="D36" s="74">
        <f>SUM(D30:D35)+D37</f>
        <v>36</v>
      </c>
      <c r="E36" s="15" t="s">
        <v>74</v>
      </c>
      <c r="F36" s="228">
        <f>SUM(F30:F35)</f>
        <v>23000</v>
      </c>
      <c r="G36" s="4"/>
      <c r="H36" s="16">
        <f>SUM(H30:H35)+H37</f>
        <v>160.5</v>
      </c>
      <c r="I36" s="80">
        <f>K36/F36</f>
        <v>2.3869565217391306</v>
      </c>
      <c r="J36" s="77" t="s">
        <v>74</v>
      </c>
      <c r="K36" s="16">
        <f>SUM(K30:K35)</f>
        <v>54900</v>
      </c>
      <c r="L36" s="12"/>
      <c r="M36" s="11"/>
    </row>
    <row r="37" spans="1:11" ht="13.5" thickBot="1">
      <c r="A37" s="2"/>
      <c r="B37" s="37" t="s">
        <v>277</v>
      </c>
      <c r="C37" s="37"/>
      <c r="D37" s="161">
        <v>10</v>
      </c>
      <c r="E37" s="37">
        <v>225</v>
      </c>
      <c r="F37" s="37">
        <f>(D37*E37)</f>
        <v>2250</v>
      </c>
      <c r="G37" s="2">
        <v>10</v>
      </c>
      <c r="H37" s="7">
        <f>F37/1000*G37</f>
        <v>22.5</v>
      </c>
      <c r="I37" s="81">
        <f>J37/E37</f>
        <v>3.5555555555555554</v>
      </c>
      <c r="J37" s="76">
        <v>800</v>
      </c>
      <c r="K37" s="7">
        <f>(D37*J37)</f>
        <v>8000</v>
      </c>
    </row>
    <row r="38" spans="1:11" ht="13.5" thickBot="1">
      <c r="A38" s="78" t="s">
        <v>279</v>
      </c>
      <c r="B38" s="5"/>
      <c r="C38" s="5"/>
      <c r="D38" s="5">
        <f>SUM(D36:D37)</f>
        <v>46</v>
      </c>
      <c r="E38" s="5"/>
      <c r="F38" s="229">
        <f>SUM(F36:F37)</f>
        <v>25250</v>
      </c>
      <c r="G38" s="4"/>
      <c r="H38" s="16">
        <f>SUM(H36:H37)</f>
        <v>183</v>
      </c>
      <c r="I38" s="80">
        <f>K38/F38</f>
        <v>2.491089108910891</v>
      </c>
      <c r="J38" s="4"/>
      <c r="K38" s="16">
        <f>SUM(K36:K37)</f>
        <v>62900</v>
      </c>
    </row>
    <row r="39" spans="1:11" ht="12.75">
      <c r="A39" s="70" t="s">
        <v>100</v>
      </c>
      <c r="B39" s="26"/>
      <c r="C39" s="26"/>
      <c r="D39" s="162">
        <v>9</v>
      </c>
      <c r="E39" s="26">
        <v>10000</v>
      </c>
      <c r="F39" s="26">
        <f>(D39*E39)</f>
        <v>90000</v>
      </c>
      <c r="G39" s="1">
        <v>1.2</v>
      </c>
      <c r="H39" s="6">
        <f>F39/1000*G39</f>
        <v>108</v>
      </c>
      <c r="I39" s="82">
        <f>J39/E39</f>
        <v>0.79</v>
      </c>
      <c r="J39" s="75">
        <v>7900</v>
      </c>
      <c r="K39" s="6">
        <f>(D39*J39)</f>
        <v>71100</v>
      </c>
    </row>
    <row r="40" spans="1:11" ht="12.75">
      <c r="A40" s="42"/>
      <c r="B40" s="37"/>
      <c r="C40" s="37"/>
      <c r="D40" s="161">
        <v>17</v>
      </c>
      <c r="E40" s="37">
        <v>5000</v>
      </c>
      <c r="F40" s="37">
        <f>(D40*E40)</f>
        <v>85000</v>
      </c>
      <c r="G40" s="2">
        <v>2</v>
      </c>
      <c r="H40" s="7">
        <f>F40/1000*G40</f>
        <v>170</v>
      </c>
      <c r="I40" s="83">
        <f>J40/E40</f>
        <v>1.1</v>
      </c>
      <c r="J40" s="76">
        <v>5500</v>
      </c>
      <c r="K40" s="7">
        <f>(D40*J40)</f>
        <v>93500</v>
      </c>
    </row>
    <row r="41" spans="1:11" ht="12.75">
      <c r="A41" s="73" t="s">
        <v>99</v>
      </c>
      <c r="B41" s="72">
        <f>D9</f>
        <v>226800</v>
      </c>
      <c r="C41" s="37"/>
      <c r="D41" s="161">
        <v>11</v>
      </c>
      <c r="E41" s="37">
        <v>2500</v>
      </c>
      <c r="F41" s="37">
        <f>(D41*E41)</f>
        <v>27500</v>
      </c>
      <c r="G41" s="2">
        <v>3</v>
      </c>
      <c r="H41" s="7">
        <f>F41/1000*G41</f>
        <v>82.5</v>
      </c>
      <c r="I41" s="83">
        <f>J41/E41</f>
        <v>1.4</v>
      </c>
      <c r="J41" s="76">
        <v>3500</v>
      </c>
      <c r="K41" s="7">
        <f>(D41*J41)</f>
        <v>38500</v>
      </c>
    </row>
    <row r="42" spans="1:11" ht="12.75">
      <c r="A42" s="73"/>
      <c r="B42" s="72"/>
      <c r="C42" s="37"/>
      <c r="D42" s="161">
        <v>20</v>
      </c>
      <c r="E42" s="37">
        <v>1000</v>
      </c>
      <c r="F42" s="37">
        <f>(D42*E42)</f>
        <v>20000</v>
      </c>
      <c r="G42" s="2">
        <v>5</v>
      </c>
      <c r="H42" s="37">
        <f>F42/1000*G42</f>
        <v>100</v>
      </c>
      <c r="I42" s="83">
        <f>J42/E42</f>
        <v>2.1</v>
      </c>
      <c r="J42" s="76">
        <v>2100</v>
      </c>
      <c r="K42" s="7">
        <f>(D42*J42)</f>
        <v>42000</v>
      </c>
    </row>
    <row r="43" spans="1:11" ht="13.5" thickBot="1">
      <c r="A43" s="2"/>
      <c r="B43" s="37"/>
      <c r="C43" s="37"/>
      <c r="D43" s="161">
        <v>10</v>
      </c>
      <c r="E43" s="37">
        <v>600</v>
      </c>
      <c r="F43" s="37">
        <f>(D43*E43)</f>
        <v>6000</v>
      </c>
      <c r="G43" s="2">
        <v>6</v>
      </c>
      <c r="H43" s="37">
        <f>F43/1000*G43</f>
        <v>36</v>
      </c>
      <c r="I43" s="84">
        <f>J43/E43</f>
        <v>3.1666666666666665</v>
      </c>
      <c r="J43" s="76">
        <v>1900</v>
      </c>
      <c r="K43" s="7">
        <f>(D43*J43)</f>
        <v>19000</v>
      </c>
    </row>
    <row r="44" spans="1:13" ht="13.5" thickBot="1">
      <c r="A44" s="4" t="s">
        <v>91</v>
      </c>
      <c r="B44" s="5"/>
      <c r="C44" s="5"/>
      <c r="D44" s="5">
        <f>SUM(D39:D43)</f>
        <v>67</v>
      </c>
      <c r="E44" s="15" t="s">
        <v>74</v>
      </c>
      <c r="F44" s="160">
        <f>SUM(F39:F43)</f>
        <v>228500</v>
      </c>
      <c r="G44" s="4"/>
      <c r="H44" s="16">
        <f>SUM(H39:H43)</f>
        <v>496.5</v>
      </c>
      <c r="I44" s="81">
        <f>K44/F44</f>
        <v>1.1557986870897154</v>
      </c>
      <c r="J44" s="78" t="s">
        <v>74</v>
      </c>
      <c r="K44" s="16">
        <f>SUM(K39:K43)</f>
        <v>264100</v>
      </c>
      <c r="L44" s="12"/>
      <c r="M44" s="11"/>
    </row>
    <row r="45" spans="1:11" ht="16.5" thickBot="1">
      <c r="A45" s="67" t="s">
        <v>91</v>
      </c>
      <c r="B45" s="63"/>
      <c r="C45" s="63"/>
      <c r="D45" s="63">
        <f>D36+D44</f>
        <v>103</v>
      </c>
      <c r="E45" s="64" t="s">
        <v>74</v>
      </c>
      <c r="F45" s="63">
        <f>F36+F44</f>
        <v>251500</v>
      </c>
      <c r="G45" s="67"/>
      <c r="H45" s="63">
        <f>H36+H44</f>
        <v>657</v>
      </c>
      <c r="I45" s="86">
        <f>K45/F45</f>
        <v>1.268389662027833</v>
      </c>
      <c r="J45" s="62" t="s">
        <v>74</v>
      </c>
      <c r="K45" s="87">
        <f>K36+K44</f>
        <v>319000</v>
      </c>
    </row>
    <row r="47" spans="1:6" ht="12.75">
      <c r="A47" s="11"/>
      <c r="F47" s="11"/>
    </row>
    <row r="48" ht="12.75">
      <c r="A48" s="11"/>
    </row>
  </sheetData>
  <printOptions/>
  <pageMargins left="0.75" right="0.75" top="1" bottom="1" header="0.4921259845" footer="0.4921259845"/>
  <pageSetup fitToHeight="1" fitToWidth="1" horizontalDpi="300" verticalDpi="300" orientation="portrait" paperSize="9" scale="75" r:id="rId3"/>
  <headerFooter alignWithMargins="0">
    <oddFooter>&amp;L&amp;F &amp;D&amp;C&amp;A &amp;P&amp;RWBI-Freiburg Ref.31 Huber G.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F17" sqref="F17"/>
    </sheetView>
  </sheetViews>
  <sheetFormatPr defaultColWidth="11.421875" defaultRowHeight="12.75"/>
  <cols>
    <col min="1" max="1" width="29.7109375" style="0" customWidth="1"/>
    <col min="2" max="2" width="7.00390625" style="0" customWidth="1"/>
    <col min="3" max="3" width="11.7109375" style="0" customWidth="1"/>
    <col min="4" max="4" width="10.421875" style="0" customWidth="1"/>
    <col min="6" max="6" width="5.57421875" style="0" customWidth="1"/>
    <col min="9" max="9" width="10.57421875" style="0" customWidth="1"/>
    <col min="10" max="10" width="6.57421875" style="0" customWidth="1"/>
    <col min="11" max="11" width="6.140625" style="0" customWidth="1"/>
    <col min="12" max="12" width="8.57421875" style="0" customWidth="1"/>
  </cols>
  <sheetData>
    <row r="1" spans="1:9" ht="15.75">
      <c r="A1" s="98" t="s">
        <v>59</v>
      </c>
      <c r="B1" s="26"/>
      <c r="C1" s="26" t="s">
        <v>101</v>
      </c>
      <c r="D1" s="25"/>
      <c r="E1" s="26" t="s">
        <v>102</v>
      </c>
      <c r="F1" s="30" t="s">
        <v>103</v>
      </c>
      <c r="G1" s="26" t="s">
        <v>104</v>
      </c>
      <c r="H1" s="26" t="s">
        <v>105</v>
      </c>
      <c r="I1" s="6" t="s">
        <v>106</v>
      </c>
    </row>
    <row r="2" spans="1:9" ht="13.5" thickBot="1">
      <c r="A2" s="3" t="s">
        <v>107</v>
      </c>
      <c r="B2" s="40"/>
      <c r="C2" s="40">
        <f>Lagerraum!D3</f>
        <v>252000</v>
      </c>
      <c r="D2" s="96"/>
      <c r="E2" s="96">
        <f>Lagerraum!K23</f>
        <v>963225.1333416296</v>
      </c>
      <c r="F2" s="3">
        <v>30</v>
      </c>
      <c r="G2" s="96">
        <f>E2/F2</f>
        <v>32107.504444720988</v>
      </c>
      <c r="H2" s="96">
        <f>(E2/2)*Gesamtkosten!C12%</f>
        <v>14448.377000124445</v>
      </c>
      <c r="I2" s="97">
        <f>(E2/2)*Gesamtkosten!C15%</f>
        <v>2889.675400024889</v>
      </c>
    </row>
    <row r="3" spans="1:9" ht="13.5" thickBot="1">
      <c r="A3" s="11"/>
      <c r="C3" s="37"/>
      <c r="D3" s="100"/>
      <c r="E3" s="37"/>
      <c r="F3" s="37"/>
      <c r="G3" s="122" t="s">
        <v>108</v>
      </c>
      <c r="H3" s="122"/>
      <c r="I3" s="122">
        <f>SUM(G2:I2)</f>
        <v>49445.55684487033</v>
      </c>
    </row>
    <row r="4" spans="1:8" ht="13.5" thickBot="1">
      <c r="A4" s="11"/>
      <c r="C4" s="129" t="s">
        <v>215</v>
      </c>
      <c r="D4" s="149">
        <f>I3/Gesamtkosten!C10*1000</f>
        <v>392.4250543243677</v>
      </c>
      <c r="E4" s="18"/>
      <c r="F4" s="18"/>
      <c r="G4" s="130" t="s">
        <v>216</v>
      </c>
      <c r="H4" s="146">
        <f>I3/Gesamtkosten!C10</f>
        <v>0.3924250543243677</v>
      </c>
    </row>
    <row r="5" spans="1:6" ht="13.5" thickBot="1">
      <c r="A5" s="11"/>
      <c r="B5" s="11"/>
      <c r="C5" s="11"/>
      <c r="D5" s="11"/>
      <c r="E5" s="11"/>
      <c r="F5" s="11"/>
    </row>
    <row r="6" spans="1:9" ht="15.75">
      <c r="A6" s="98" t="s">
        <v>109</v>
      </c>
      <c r="B6" s="26" t="s">
        <v>93</v>
      </c>
      <c r="C6" s="26" t="s">
        <v>101</v>
      </c>
      <c r="D6" s="25" t="s">
        <v>110</v>
      </c>
      <c r="E6" s="26" t="s">
        <v>102</v>
      </c>
      <c r="F6" s="30" t="s">
        <v>103</v>
      </c>
      <c r="G6" s="26" t="s">
        <v>104</v>
      </c>
      <c r="H6" s="26" t="s">
        <v>105</v>
      </c>
      <c r="I6" s="6" t="s">
        <v>106</v>
      </c>
    </row>
    <row r="7" spans="1:9" ht="13.5" thickBot="1">
      <c r="A7" s="42" t="s">
        <v>111</v>
      </c>
      <c r="B7" s="37"/>
      <c r="C7" s="105" t="s">
        <v>112</v>
      </c>
      <c r="D7" s="105" t="s">
        <v>207</v>
      </c>
      <c r="E7" s="37"/>
      <c r="F7" s="42" t="s">
        <v>113</v>
      </c>
      <c r="G7" s="37" t="s">
        <v>217</v>
      </c>
      <c r="H7" s="37" t="s">
        <v>217</v>
      </c>
      <c r="I7" s="7" t="s">
        <v>217</v>
      </c>
    </row>
    <row r="8" spans="1:10" ht="12.75">
      <c r="A8" s="30" t="s">
        <v>98</v>
      </c>
      <c r="B8" s="93">
        <f>Lagerraum!D36</f>
        <v>36</v>
      </c>
      <c r="C8" s="93">
        <f>Lagerraum!F36</f>
        <v>23000</v>
      </c>
      <c r="D8" s="94">
        <f>Lagerraum!I36</f>
        <v>2.3869565217391306</v>
      </c>
      <c r="E8" s="93">
        <f>Lagerraum!K36</f>
        <v>54900</v>
      </c>
      <c r="F8" s="26">
        <v>30</v>
      </c>
      <c r="G8" s="94">
        <f>E8/F8</f>
        <v>1830</v>
      </c>
      <c r="H8" s="94">
        <f>(E8/2)*Gesamtkosten!$C$12%</f>
        <v>823.5</v>
      </c>
      <c r="I8" s="95">
        <f>E8*Gesamtkosten!C13%</f>
        <v>549</v>
      </c>
      <c r="J8" s="11" t="str">
        <f>Lagerraum!J36</f>
        <v> </v>
      </c>
    </row>
    <row r="9" spans="1:10" ht="12.75">
      <c r="A9" s="42" t="s">
        <v>278</v>
      </c>
      <c r="B9" s="36">
        <f>Lagerraum!D37</f>
        <v>10</v>
      </c>
      <c r="C9" s="36">
        <f>Lagerraum!F37</f>
        <v>2250</v>
      </c>
      <c r="D9" s="100">
        <f>Lagerraum!I37</f>
        <v>3.5555555555555554</v>
      </c>
      <c r="E9" s="36">
        <f>Lagerraum!K37</f>
        <v>8000</v>
      </c>
      <c r="F9" s="37">
        <v>4</v>
      </c>
      <c r="G9" s="100">
        <f>E9/F9</f>
        <v>2000</v>
      </c>
      <c r="H9" s="100">
        <f>(E9/2)*Gesamtkosten!$C$12%</f>
        <v>120</v>
      </c>
      <c r="I9" s="226">
        <f>E9*Gesamtkosten!C14%</f>
        <v>48</v>
      </c>
      <c r="J9" s="11"/>
    </row>
    <row r="10" spans="1:9" ht="13.5" thickBot="1">
      <c r="A10" s="3" t="s">
        <v>114</v>
      </c>
      <c r="B10" s="40">
        <f>Lagerraum!D44</f>
        <v>67</v>
      </c>
      <c r="C10" s="40">
        <f>Lagerraum!F44</f>
        <v>228500</v>
      </c>
      <c r="D10" s="96">
        <f>Lagerraum!I44</f>
        <v>1.1557986870897154</v>
      </c>
      <c r="E10" s="40">
        <f>Lagerraum!K44</f>
        <v>264100</v>
      </c>
      <c r="F10" s="33">
        <v>30</v>
      </c>
      <c r="G10" s="96">
        <f>E10/F10</f>
        <v>8803.333333333334</v>
      </c>
      <c r="H10" s="96">
        <f>(E10/2)*Gesamtkosten!C12%</f>
        <v>3961.5</v>
      </c>
      <c r="I10" s="97">
        <f>E10*Gesamtkosten!C14%</f>
        <v>1584.6000000000001</v>
      </c>
    </row>
    <row r="11" spans="1:9" ht="13.5" thickBot="1">
      <c r="A11" s="3" t="s">
        <v>91</v>
      </c>
      <c r="B11" s="33">
        <f>SUM(B8:B10)</f>
        <v>113</v>
      </c>
      <c r="C11" s="33">
        <f aca="true" t="shared" si="0" ref="C11:I11">SUM(C8:C10)</f>
        <v>253750</v>
      </c>
      <c r="D11" s="96">
        <f>Lagerraum!I45</f>
        <v>1.268389662027833</v>
      </c>
      <c r="E11" s="33">
        <f t="shared" si="0"/>
        <v>327000</v>
      </c>
      <c r="F11" s="3">
        <f>AVERAGE(F8:F10)</f>
        <v>21.333333333333332</v>
      </c>
      <c r="G11" s="227">
        <f t="shared" si="0"/>
        <v>12633.333333333334</v>
      </c>
      <c r="H11" s="227">
        <f t="shared" si="0"/>
        <v>4905</v>
      </c>
      <c r="I11" s="34">
        <f t="shared" si="0"/>
        <v>2181.6000000000004</v>
      </c>
    </row>
    <row r="12" spans="1:9" ht="13.5" thickBot="1">
      <c r="A12" s="37"/>
      <c r="B12" s="37"/>
      <c r="C12" s="37"/>
      <c r="D12" s="100"/>
      <c r="E12" s="37"/>
      <c r="F12" s="37"/>
      <c r="G12" s="122" t="s">
        <v>108</v>
      </c>
      <c r="H12" s="122"/>
      <c r="I12" s="122">
        <f>SUM(G11:I11)</f>
        <v>19719.933333333334</v>
      </c>
    </row>
    <row r="13" spans="3:8" ht="13.5" thickBot="1">
      <c r="C13" s="129" t="s">
        <v>215</v>
      </c>
      <c r="D13" s="149">
        <f>I12/Gesamtkosten!C10*1000</f>
        <v>156.50740740740744</v>
      </c>
      <c r="E13" s="18"/>
      <c r="F13" s="18"/>
      <c r="G13" s="130" t="s">
        <v>216</v>
      </c>
      <c r="H13" s="146">
        <f>I12/Gesamtkosten!C10</f>
        <v>0.15650740740740743</v>
      </c>
    </row>
    <row r="14" spans="1:8" ht="13.5" thickBot="1">
      <c r="A14" t="s">
        <v>115</v>
      </c>
      <c r="C14" s="11"/>
      <c r="E14" s="11"/>
      <c r="G14" s="12"/>
      <c r="H14" s="11"/>
    </row>
    <row r="15" spans="1:12" ht="15.75">
      <c r="A15" s="98" t="s">
        <v>116</v>
      </c>
      <c r="B15" s="26" t="s">
        <v>93</v>
      </c>
      <c r="C15" s="26" t="s">
        <v>117</v>
      </c>
      <c r="D15" s="25" t="s">
        <v>118</v>
      </c>
      <c r="E15" s="26" t="s">
        <v>102</v>
      </c>
      <c r="F15" s="30" t="s">
        <v>103</v>
      </c>
      <c r="G15" s="26" t="s">
        <v>104</v>
      </c>
      <c r="H15" s="26" t="s">
        <v>105</v>
      </c>
      <c r="I15" s="6" t="s">
        <v>106</v>
      </c>
      <c r="J15" s="1" t="s">
        <v>119</v>
      </c>
      <c r="K15" s="89" t="s">
        <v>103</v>
      </c>
      <c r="L15" s="166" t="s">
        <v>120</v>
      </c>
    </row>
    <row r="16" spans="1:12" ht="13.5" thickBot="1">
      <c r="A16" s="32" t="s">
        <v>111</v>
      </c>
      <c r="B16" s="33"/>
      <c r="C16" s="28"/>
      <c r="D16" s="28" t="s">
        <v>213</v>
      </c>
      <c r="E16" s="33"/>
      <c r="F16" s="32" t="s">
        <v>113</v>
      </c>
      <c r="G16" s="33" t="s">
        <v>217</v>
      </c>
      <c r="H16" s="33" t="s">
        <v>217</v>
      </c>
      <c r="I16" s="9" t="s">
        <v>217</v>
      </c>
      <c r="J16" s="3" t="s">
        <v>218</v>
      </c>
      <c r="K16" s="9" t="s">
        <v>121</v>
      </c>
      <c r="L16" s="125"/>
    </row>
    <row r="17" spans="1:12" ht="12.75">
      <c r="A17" s="11" t="s">
        <v>122</v>
      </c>
      <c r="B17" s="150">
        <v>1</v>
      </c>
      <c r="C17" t="s">
        <v>123</v>
      </c>
      <c r="D17" s="150">
        <v>13500</v>
      </c>
      <c r="E17">
        <f>B17*D17</f>
        <v>13500</v>
      </c>
      <c r="F17" s="76">
        <v>15</v>
      </c>
      <c r="G17" s="100">
        <f>E17/F17</f>
        <v>900</v>
      </c>
      <c r="H17" s="94">
        <f>(E17/2)*Gesamtkosten!$C$12%</f>
        <v>202.5</v>
      </c>
      <c r="I17" s="7"/>
      <c r="J17" s="177">
        <v>2.2</v>
      </c>
      <c r="K17" s="178">
        <v>0.2</v>
      </c>
      <c r="L17" s="113">
        <f>J17*K17*B17</f>
        <v>0.44000000000000006</v>
      </c>
    </row>
    <row r="18" spans="1:12" ht="12.75">
      <c r="A18" s="99" t="s">
        <v>124</v>
      </c>
      <c r="B18" s="150">
        <v>0</v>
      </c>
      <c r="D18" s="150">
        <v>0</v>
      </c>
      <c r="E18">
        <f>B18*D18</f>
        <v>0</v>
      </c>
      <c r="F18" s="76">
        <v>10</v>
      </c>
      <c r="G18" s="100">
        <f>E18/F18</f>
        <v>0</v>
      </c>
      <c r="H18" s="100">
        <f>(E18/2)*Gesamtkosten!$C$12%</f>
        <v>0</v>
      </c>
      <c r="I18" s="7"/>
      <c r="J18" s="177"/>
      <c r="K18" s="178"/>
      <c r="L18" s="113">
        <f>J18*K18*B18</f>
        <v>0</v>
      </c>
    </row>
    <row r="19" spans="1:12" ht="12.75">
      <c r="A19" t="s">
        <v>292</v>
      </c>
      <c r="B19" s="150">
        <v>1</v>
      </c>
      <c r="D19" s="150">
        <v>10500</v>
      </c>
      <c r="E19">
        <f>B19*D19</f>
        <v>10500</v>
      </c>
      <c r="F19" s="76">
        <v>10</v>
      </c>
      <c r="G19" s="100">
        <f>E19/F19</f>
        <v>1050</v>
      </c>
      <c r="H19" s="100">
        <f>(E19/2)*Gesamtkosten!$C$12%</f>
        <v>157.5</v>
      </c>
      <c r="I19" s="7"/>
      <c r="J19" s="177">
        <v>0.3</v>
      </c>
      <c r="K19" s="178">
        <v>1</v>
      </c>
      <c r="L19" s="113">
        <f>J19*K19*B19</f>
        <v>0.3</v>
      </c>
    </row>
    <row r="20" spans="1:12" ht="12.75">
      <c r="A20" t="s">
        <v>293</v>
      </c>
      <c r="B20" s="150">
        <v>1</v>
      </c>
      <c r="C20" t="s">
        <v>294</v>
      </c>
      <c r="D20" s="150">
        <v>5400</v>
      </c>
      <c r="E20">
        <f>B20*D20</f>
        <v>5400</v>
      </c>
      <c r="F20" s="76">
        <v>15</v>
      </c>
      <c r="G20" s="100">
        <f>E20/F20</f>
        <v>360</v>
      </c>
      <c r="H20" s="100">
        <f>(E20/2)*Gesamtkosten!$C$12%</f>
        <v>81</v>
      </c>
      <c r="I20" s="7"/>
      <c r="J20" s="177">
        <v>0.3</v>
      </c>
      <c r="K20" s="178">
        <v>3</v>
      </c>
      <c r="L20" s="113">
        <f>J20*K20*B20</f>
        <v>0.8999999999999999</v>
      </c>
    </row>
    <row r="21" spans="1:12" ht="12.75">
      <c r="A21" t="s">
        <v>125</v>
      </c>
      <c r="B21" s="150">
        <v>1</v>
      </c>
      <c r="C21" t="s">
        <v>126</v>
      </c>
      <c r="D21" s="150">
        <v>22000</v>
      </c>
      <c r="E21">
        <f aca="true" t="shared" si="1" ref="E21:E36">B21*D21</f>
        <v>22000</v>
      </c>
      <c r="F21" s="76">
        <v>20</v>
      </c>
      <c r="G21" s="100">
        <f aca="true" t="shared" si="2" ref="G21:G36">E21/F21</f>
        <v>1100</v>
      </c>
      <c r="H21" s="100">
        <f>(E21/2)*Gesamtkosten!$C$12%</f>
        <v>330</v>
      </c>
      <c r="I21" s="7"/>
      <c r="J21" s="177">
        <v>0</v>
      </c>
      <c r="K21" s="178">
        <v>3</v>
      </c>
      <c r="L21" s="113">
        <f>J21*K21*B21</f>
        <v>0</v>
      </c>
    </row>
    <row r="22" spans="1:12" ht="12.75">
      <c r="A22" t="s">
        <v>127</v>
      </c>
      <c r="B22" s="150">
        <v>2</v>
      </c>
      <c r="C22" s="11" t="s">
        <v>128</v>
      </c>
      <c r="D22" s="150">
        <v>39000</v>
      </c>
      <c r="E22">
        <f t="shared" si="1"/>
        <v>78000</v>
      </c>
      <c r="F22" s="76">
        <v>15</v>
      </c>
      <c r="G22" s="100">
        <f t="shared" si="2"/>
        <v>5200</v>
      </c>
      <c r="H22" s="100">
        <f>(E22/2)*Gesamtkosten!$C$12%</f>
        <v>1170</v>
      </c>
      <c r="I22" s="7"/>
      <c r="J22" s="177">
        <v>8.5</v>
      </c>
      <c r="K22" s="178">
        <v>0.56</v>
      </c>
      <c r="L22" s="113">
        <f aca="true" t="shared" si="3" ref="L22:L38">J22*K22*B22</f>
        <v>9.520000000000001</v>
      </c>
    </row>
    <row r="23" spans="1:12" ht="12.75">
      <c r="A23" t="s">
        <v>127</v>
      </c>
      <c r="B23" s="150">
        <v>2</v>
      </c>
      <c r="C23" t="s">
        <v>129</v>
      </c>
      <c r="D23" s="150">
        <v>44000</v>
      </c>
      <c r="E23">
        <f t="shared" si="1"/>
        <v>88000</v>
      </c>
      <c r="F23" s="76">
        <v>15</v>
      </c>
      <c r="G23" s="100">
        <f t="shared" si="2"/>
        <v>5866.666666666667</v>
      </c>
      <c r="H23" s="100">
        <f>(E23/2)*Gesamtkosten!$C$12%</f>
        <v>1320</v>
      </c>
      <c r="I23" s="7"/>
      <c r="J23" s="177">
        <v>9.6</v>
      </c>
      <c r="K23" s="178">
        <v>1.3</v>
      </c>
      <c r="L23" s="113">
        <f t="shared" si="3"/>
        <v>24.96</v>
      </c>
    </row>
    <row r="24" spans="1:12" ht="12.75">
      <c r="A24" t="s">
        <v>127</v>
      </c>
      <c r="B24" s="150">
        <v>2</v>
      </c>
      <c r="C24" t="s">
        <v>130</v>
      </c>
      <c r="D24" s="150">
        <v>49000</v>
      </c>
      <c r="E24">
        <f t="shared" si="1"/>
        <v>98000</v>
      </c>
      <c r="F24" s="76">
        <v>15</v>
      </c>
      <c r="G24" s="100">
        <f t="shared" si="2"/>
        <v>6533.333333333333</v>
      </c>
      <c r="H24" s="100">
        <f>(E24/2)*Gesamtkosten!$C$12%</f>
        <v>1470</v>
      </c>
      <c r="I24" s="7"/>
      <c r="J24" s="177">
        <v>15</v>
      </c>
      <c r="K24" s="178">
        <v>1.2</v>
      </c>
      <c r="L24" s="113">
        <f t="shared" si="3"/>
        <v>36</v>
      </c>
    </row>
    <row r="25" spans="1:12" ht="12.75">
      <c r="A25" s="11" t="s">
        <v>131</v>
      </c>
      <c r="B25" s="150">
        <v>1</v>
      </c>
      <c r="C25" t="s">
        <v>132</v>
      </c>
      <c r="D25" s="150">
        <v>6600</v>
      </c>
      <c r="E25">
        <f t="shared" si="1"/>
        <v>6600</v>
      </c>
      <c r="F25" s="151">
        <v>15</v>
      </c>
      <c r="G25" s="100">
        <f t="shared" si="2"/>
        <v>440</v>
      </c>
      <c r="H25" s="100">
        <f>(E25/2)*Gesamtkosten!$C$12%</f>
        <v>99</v>
      </c>
      <c r="I25" s="7"/>
      <c r="J25" s="177">
        <v>1.9</v>
      </c>
      <c r="K25" s="178">
        <v>0.5</v>
      </c>
      <c r="L25" s="113">
        <f t="shared" si="3"/>
        <v>0.95</v>
      </c>
    </row>
    <row r="26" spans="1:12" ht="12.75">
      <c r="A26" s="11" t="s">
        <v>276</v>
      </c>
      <c r="B26" s="150">
        <v>1</v>
      </c>
      <c r="C26" t="s">
        <v>275</v>
      </c>
      <c r="D26" s="150">
        <v>37000</v>
      </c>
      <c r="E26">
        <f t="shared" si="1"/>
        <v>37000</v>
      </c>
      <c r="F26" s="76">
        <v>15</v>
      </c>
      <c r="G26" s="100">
        <f t="shared" si="2"/>
        <v>2466.6666666666665</v>
      </c>
      <c r="H26" s="100">
        <f>(E26/2)*Gesamtkosten!$C$12%</f>
        <v>555</v>
      </c>
      <c r="I26" s="7"/>
      <c r="J26" s="177">
        <v>4</v>
      </c>
      <c r="K26" s="178">
        <v>0.84</v>
      </c>
      <c r="L26" s="113">
        <f t="shared" si="3"/>
        <v>3.36</v>
      </c>
    </row>
    <row r="27" spans="1:12" ht="12.75">
      <c r="A27" t="s">
        <v>281</v>
      </c>
      <c r="B27" s="150">
        <v>1</v>
      </c>
      <c r="D27" s="150">
        <v>3970</v>
      </c>
      <c r="E27">
        <f t="shared" si="1"/>
        <v>3970</v>
      </c>
      <c r="F27" s="76">
        <v>8</v>
      </c>
      <c r="G27" s="100">
        <f t="shared" si="2"/>
        <v>496.25</v>
      </c>
      <c r="H27" s="100">
        <f>(E27/2)*Gesamtkosten!$C$12%</f>
        <v>59.55</v>
      </c>
      <c r="I27" s="7"/>
      <c r="J27" s="177"/>
      <c r="K27" s="178">
        <v>0.3</v>
      </c>
      <c r="L27" s="113">
        <f t="shared" si="3"/>
        <v>0</v>
      </c>
    </row>
    <row r="28" spans="1:12" ht="12.75">
      <c r="A28" t="s">
        <v>133</v>
      </c>
      <c r="B28" s="150">
        <v>2</v>
      </c>
      <c r="D28" s="150">
        <v>11000</v>
      </c>
      <c r="E28">
        <f t="shared" si="1"/>
        <v>22000</v>
      </c>
      <c r="F28" s="76">
        <v>15</v>
      </c>
      <c r="G28" s="100">
        <f t="shared" si="2"/>
        <v>1466.6666666666667</v>
      </c>
      <c r="H28" s="100">
        <f>(E28/2)*Gesamtkosten!$C$12%</f>
        <v>330</v>
      </c>
      <c r="I28" s="7"/>
      <c r="J28" s="177">
        <v>0.4</v>
      </c>
      <c r="K28" s="178">
        <v>3</v>
      </c>
      <c r="L28" s="113">
        <f t="shared" si="3"/>
        <v>2.4000000000000004</v>
      </c>
    </row>
    <row r="29" spans="1:12" ht="12.75">
      <c r="A29" t="s">
        <v>134</v>
      </c>
      <c r="B29" s="150">
        <v>1</v>
      </c>
      <c r="C29" t="s">
        <v>135</v>
      </c>
      <c r="D29" s="150">
        <v>20500</v>
      </c>
      <c r="E29">
        <f t="shared" si="1"/>
        <v>20500</v>
      </c>
      <c r="F29" s="76">
        <v>15</v>
      </c>
      <c r="G29" s="100">
        <f t="shared" si="2"/>
        <v>1366.6666666666667</v>
      </c>
      <c r="H29" s="100">
        <f>(E29/2)*Gesamtkosten!$C$12%</f>
        <v>307.5</v>
      </c>
      <c r="I29" s="7"/>
      <c r="J29" s="177">
        <v>1.5</v>
      </c>
      <c r="K29" s="178">
        <v>2</v>
      </c>
      <c r="L29" s="113">
        <f t="shared" si="3"/>
        <v>3</v>
      </c>
    </row>
    <row r="30" spans="1:12" ht="12.75">
      <c r="A30" t="s">
        <v>136</v>
      </c>
      <c r="B30" s="150">
        <v>1</v>
      </c>
      <c r="D30" s="150">
        <v>13000</v>
      </c>
      <c r="E30">
        <f t="shared" si="1"/>
        <v>13000</v>
      </c>
      <c r="F30" s="76">
        <v>15</v>
      </c>
      <c r="G30" s="100">
        <f t="shared" si="2"/>
        <v>866.6666666666666</v>
      </c>
      <c r="H30" s="100">
        <f>(E30/2)*Gesamtkosten!$C$12%</f>
        <v>195</v>
      </c>
      <c r="I30" s="7"/>
      <c r="J30" s="177">
        <v>2.2</v>
      </c>
      <c r="K30" s="178">
        <v>0.1</v>
      </c>
      <c r="L30" s="113">
        <f t="shared" si="3"/>
        <v>0.22000000000000003</v>
      </c>
    </row>
    <row r="31" spans="1:12" ht="12.75">
      <c r="A31" t="s">
        <v>137</v>
      </c>
      <c r="B31" s="150">
        <v>1</v>
      </c>
      <c r="C31" t="s">
        <v>282</v>
      </c>
      <c r="D31" s="150">
        <v>30500</v>
      </c>
      <c r="E31">
        <f t="shared" si="1"/>
        <v>30500</v>
      </c>
      <c r="F31" s="76">
        <v>10</v>
      </c>
      <c r="G31" s="100">
        <f t="shared" si="2"/>
        <v>3050</v>
      </c>
      <c r="H31" s="100">
        <f>(E31/2)*Gesamtkosten!$C$12%</f>
        <v>457.5</v>
      </c>
      <c r="I31" s="7"/>
      <c r="J31" s="177">
        <v>6</v>
      </c>
      <c r="K31" s="178">
        <v>3.3</v>
      </c>
      <c r="L31" s="113">
        <f t="shared" si="3"/>
        <v>19.799999999999997</v>
      </c>
    </row>
    <row r="32" spans="1:12" ht="12.75">
      <c r="A32" t="s">
        <v>138</v>
      </c>
      <c r="B32" s="150">
        <v>1</v>
      </c>
      <c r="C32" t="s">
        <v>139</v>
      </c>
      <c r="D32" s="150">
        <v>6100</v>
      </c>
      <c r="E32">
        <f t="shared" si="1"/>
        <v>6100</v>
      </c>
      <c r="F32" s="76">
        <v>15</v>
      </c>
      <c r="G32" s="100">
        <f t="shared" si="2"/>
        <v>406.6666666666667</v>
      </c>
      <c r="H32" s="100">
        <f>(E32/2)*Gesamtkosten!$C$12%</f>
        <v>91.5</v>
      </c>
      <c r="I32" s="7"/>
      <c r="J32" s="177"/>
      <c r="K32" s="178">
        <v>0.1</v>
      </c>
      <c r="L32" s="113">
        <f t="shared" si="3"/>
        <v>0</v>
      </c>
    </row>
    <row r="33" spans="1:12" ht="12.75">
      <c r="A33" t="s">
        <v>140</v>
      </c>
      <c r="B33" s="150">
        <v>1</v>
      </c>
      <c r="C33" t="s">
        <v>141</v>
      </c>
      <c r="D33" s="150">
        <v>800</v>
      </c>
      <c r="E33">
        <f t="shared" si="1"/>
        <v>800</v>
      </c>
      <c r="F33" s="76">
        <v>10</v>
      </c>
      <c r="G33" s="100">
        <f t="shared" si="2"/>
        <v>80</v>
      </c>
      <c r="H33" s="100">
        <f>(E33/2)*Gesamtkosten!$C$12%</f>
        <v>12</v>
      </c>
      <c r="I33" s="7"/>
      <c r="J33" s="177">
        <v>1.5</v>
      </c>
      <c r="K33" s="178">
        <v>0.9</v>
      </c>
      <c r="L33" s="113">
        <f t="shared" si="3"/>
        <v>1.35</v>
      </c>
    </row>
    <row r="34" spans="1:12" ht="12.75">
      <c r="A34" t="s">
        <v>142</v>
      </c>
      <c r="B34" s="150">
        <v>1</v>
      </c>
      <c r="C34" t="s">
        <v>143</v>
      </c>
      <c r="D34" s="150">
        <v>1400</v>
      </c>
      <c r="E34">
        <f t="shared" si="1"/>
        <v>1400</v>
      </c>
      <c r="F34" s="76">
        <v>15</v>
      </c>
      <c r="G34" s="100">
        <f t="shared" si="2"/>
        <v>93.33333333333333</v>
      </c>
      <c r="H34" s="100">
        <f>(E34/2)*Gesamtkosten!$C$12%</f>
        <v>21</v>
      </c>
      <c r="I34" s="7"/>
      <c r="J34" s="177">
        <v>0.7</v>
      </c>
      <c r="K34" s="178">
        <v>0.2</v>
      </c>
      <c r="L34" s="113">
        <f t="shared" si="3"/>
        <v>0.13999999999999999</v>
      </c>
    </row>
    <row r="35" spans="1:12" ht="12.75">
      <c r="A35" t="s">
        <v>144</v>
      </c>
      <c r="B35" s="150">
        <v>1</v>
      </c>
      <c r="C35" t="s">
        <v>145</v>
      </c>
      <c r="D35" s="150">
        <v>3800</v>
      </c>
      <c r="E35">
        <f t="shared" si="1"/>
        <v>3800</v>
      </c>
      <c r="F35" s="76">
        <v>15</v>
      </c>
      <c r="G35" s="100">
        <f t="shared" si="2"/>
        <v>253.33333333333334</v>
      </c>
      <c r="H35" s="100">
        <f>(E35/2)*Gesamtkosten!$C$12%</f>
        <v>57</v>
      </c>
      <c r="I35" s="7"/>
      <c r="J35" s="177">
        <v>4.4</v>
      </c>
      <c r="K35" s="178">
        <v>3</v>
      </c>
      <c r="L35" s="113">
        <f t="shared" si="3"/>
        <v>13.200000000000001</v>
      </c>
    </row>
    <row r="36" spans="1:12" ht="12.75">
      <c r="A36" t="s">
        <v>146</v>
      </c>
      <c r="B36" s="150">
        <v>1</v>
      </c>
      <c r="C36" t="s">
        <v>141</v>
      </c>
      <c r="D36" s="150">
        <v>5500</v>
      </c>
      <c r="E36">
        <f t="shared" si="1"/>
        <v>5500</v>
      </c>
      <c r="F36" s="76">
        <v>10</v>
      </c>
      <c r="G36" s="100">
        <f t="shared" si="2"/>
        <v>550</v>
      </c>
      <c r="H36" s="100">
        <f>(E36/2)*Gesamtkosten!$C$12%</f>
        <v>82.5</v>
      </c>
      <c r="I36" s="7"/>
      <c r="J36" s="177">
        <v>5.2</v>
      </c>
      <c r="K36" s="178">
        <v>0.9</v>
      </c>
      <c r="L36" s="113">
        <f>J36*K36*B36</f>
        <v>4.680000000000001</v>
      </c>
    </row>
    <row r="37" spans="1:12" ht="12.75">
      <c r="A37" t="s">
        <v>283</v>
      </c>
      <c r="B37" s="150">
        <v>0</v>
      </c>
      <c r="C37" t="s">
        <v>284</v>
      </c>
      <c r="D37" s="150">
        <v>25500</v>
      </c>
      <c r="E37">
        <f aca="true" t="shared" si="4" ref="E37:E54">B37*D37</f>
        <v>0</v>
      </c>
      <c r="F37" s="76">
        <v>10</v>
      </c>
      <c r="G37" s="100">
        <f aca="true" t="shared" si="5" ref="G37:G54">E37/F37</f>
        <v>0</v>
      </c>
      <c r="H37" s="100">
        <f>(E37/2)*Gesamtkosten!$C$12%</f>
        <v>0</v>
      </c>
      <c r="I37" s="7"/>
      <c r="J37" s="177">
        <v>5.6</v>
      </c>
      <c r="K37" s="178">
        <v>1</v>
      </c>
      <c r="L37" s="113">
        <f t="shared" si="3"/>
        <v>0</v>
      </c>
    </row>
    <row r="38" spans="1:12" ht="12.75">
      <c r="A38" t="s">
        <v>285</v>
      </c>
      <c r="B38" s="150">
        <v>0</v>
      </c>
      <c r="C38" t="s">
        <v>147</v>
      </c>
      <c r="D38" s="150">
        <v>39600</v>
      </c>
      <c r="E38">
        <f t="shared" si="4"/>
        <v>0</v>
      </c>
      <c r="F38" s="76">
        <v>10</v>
      </c>
      <c r="G38" s="100">
        <f t="shared" si="5"/>
        <v>0</v>
      </c>
      <c r="H38" s="100">
        <f>(E38/2)*Gesamtkosten!$C$12%</f>
        <v>0</v>
      </c>
      <c r="I38" s="7"/>
      <c r="J38" s="177">
        <v>5.6</v>
      </c>
      <c r="K38" s="178">
        <v>0.8</v>
      </c>
      <c r="L38" s="113">
        <f t="shared" si="3"/>
        <v>0</v>
      </c>
    </row>
    <row r="39" spans="1:12" ht="12.75">
      <c r="A39" t="s">
        <v>148</v>
      </c>
      <c r="B39" s="150">
        <v>1</v>
      </c>
      <c r="C39" t="s">
        <v>286</v>
      </c>
      <c r="D39" s="150">
        <v>50000</v>
      </c>
      <c r="E39">
        <f t="shared" si="4"/>
        <v>50000</v>
      </c>
      <c r="F39" s="76">
        <v>10</v>
      </c>
      <c r="G39" s="100">
        <f t="shared" si="5"/>
        <v>5000</v>
      </c>
      <c r="H39" s="100">
        <f>(E39/2)*Gesamtkosten!$C$12%</f>
        <v>750</v>
      </c>
      <c r="I39" s="7"/>
      <c r="J39" s="177">
        <v>8.9</v>
      </c>
      <c r="K39" s="178">
        <v>0.8</v>
      </c>
      <c r="L39" s="113">
        <f aca="true" t="shared" si="6" ref="L39:L56">J39*K39*B39</f>
        <v>7.120000000000001</v>
      </c>
    </row>
    <row r="40" spans="2:12" ht="12.75">
      <c r="B40" s="150">
        <v>0</v>
      </c>
      <c r="D40" s="150">
        <v>0</v>
      </c>
      <c r="E40">
        <f t="shared" si="4"/>
        <v>0</v>
      </c>
      <c r="F40" s="76">
        <v>10</v>
      </c>
      <c r="G40" s="100">
        <f t="shared" si="5"/>
        <v>0</v>
      </c>
      <c r="H40" s="100">
        <f>(E40/2)*Gesamtkosten!$C$12%</f>
        <v>0</v>
      </c>
      <c r="I40" s="7"/>
      <c r="J40" s="177"/>
      <c r="K40" s="178"/>
      <c r="L40" s="113">
        <f t="shared" si="6"/>
        <v>0</v>
      </c>
    </row>
    <row r="41" spans="1:12" ht="12.75">
      <c r="A41" t="s">
        <v>149</v>
      </c>
      <c r="B41" s="150">
        <v>1</v>
      </c>
      <c r="C41" t="s">
        <v>141</v>
      </c>
      <c r="D41" s="150">
        <v>4600</v>
      </c>
      <c r="E41">
        <f t="shared" si="4"/>
        <v>4600</v>
      </c>
      <c r="F41" s="76">
        <v>10</v>
      </c>
      <c r="G41" s="100">
        <f t="shared" si="5"/>
        <v>460</v>
      </c>
      <c r="H41" s="100">
        <f>(E41/2)*Gesamtkosten!$C$12%</f>
        <v>69</v>
      </c>
      <c r="I41" s="7"/>
      <c r="J41" s="177">
        <v>5.8</v>
      </c>
      <c r="K41" s="178">
        <v>0.9</v>
      </c>
      <c r="L41" s="113">
        <f t="shared" si="6"/>
        <v>5.22</v>
      </c>
    </row>
    <row r="42" spans="1:12" ht="12.75">
      <c r="A42" t="s">
        <v>150</v>
      </c>
      <c r="B42" s="150">
        <v>0</v>
      </c>
      <c r="C42" t="s">
        <v>151</v>
      </c>
      <c r="D42" s="150">
        <v>3000</v>
      </c>
      <c r="E42">
        <f>B42*D42</f>
        <v>0</v>
      </c>
      <c r="F42" s="76">
        <v>10</v>
      </c>
      <c r="G42" s="100">
        <f>E42/F42</f>
        <v>0</v>
      </c>
      <c r="H42" s="100">
        <f>(E42/2)*Gesamtkosten!$C$12%</f>
        <v>0</v>
      </c>
      <c r="I42" s="7"/>
      <c r="J42" s="177">
        <v>1.8</v>
      </c>
      <c r="K42" s="178">
        <v>0.9</v>
      </c>
      <c r="L42" s="113">
        <f>J42*K42*B42</f>
        <v>0</v>
      </c>
    </row>
    <row r="43" spans="1:12" ht="12.75">
      <c r="A43" t="s">
        <v>288</v>
      </c>
      <c r="B43" s="150">
        <v>1</v>
      </c>
      <c r="C43" t="s">
        <v>287</v>
      </c>
      <c r="D43" s="150">
        <v>25500</v>
      </c>
      <c r="E43">
        <f t="shared" si="4"/>
        <v>25500</v>
      </c>
      <c r="F43" s="76">
        <v>10</v>
      </c>
      <c r="G43" s="100">
        <f t="shared" si="5"/>
        <v>2550</v>
      </c>
      <c r="H43" s="100">
        <f>(E43/2)*Gesamtkosten!$C$12%</f>
        <v>382.5</v>
      </c>
      <c r="I43" s="7"/>
      <c r="J43" s="177">
        <v>1.9</v>
      </c>
      <c r="K43" s="178">
        <v>1</v>
      </c>
      <c r="L43" s="113">
        <f t="shared" si="6"/>
        <v>1.9</v>
      </c>
    </row>
    <row r="44" spans="1:12" ht="12.75">
      <c r="A44" t="s">
        <v>289</v>
      </c>
      <c r="B44" s="150">
        <v>1</v>
      </c>
      <c r="C44" t="s">
        <v>152</v>
      </c>
      <c r="D44" s="150">
        <v>8200</v>
      </c>
      <c r="E44">
        <f t="shared" si="4"/>
        <v>8200</v>
      </c>
      <c r="F44" s="76">
        <v>10</v>
      </c>
      <c r="G44" s="100">
        <f t="shared" si="5"/>
        <v>820</v>
      </c>
      <c r="H44" s="100">
        <f>(E44/2)*Gesamtkosten!$C$12%</f>
        <v>123</v>
      </c>
      <c r="I44" s="7"/>
      <c r="J44" s="177">
        <v>1.6</v>
      </c>
      <c r="K44" s="178">
        <v>1</v>
      </c>
      <c r="L44" s="113">
        <f t="shared" si="6"/>
        <v>1.6</v>
      </c>
    </row>
    <row r="45" spans="1:12" ht="12.75">
      <c r="A45" t="s">
        <v>290</v>
      </c>
      <c r="B45" s="150">
        <v>1</v>
      </c>
      <c r="C45" t="s">
        <v>291</v>
      </c>
      <c r="D45" s="150">
        <v>39000</v>
      </c>
      <c r="E45">
        <f>B45*D45</f>
        <v>39000</v>
      </c>
      <c r="F45" s="76">
        <v>10</v>
      </c>
      <c r="G45" s="100">
        <f>E45/F45</f>
        <v>3900</v>
      </c>
      <c r="H45" s="100">
        <f>(E45/2)*Gesamtkosten!$C$12%</f>
        <v>585</v>
      </c>
      <c r="I45" s="7"/>
      <c r="J45" s="177">
        <v>4</v>
      </c>
      <c r="K45" s="178">
        <v>0.2</v>
      </c>
      <c r="L45" s="113">
        <f>J45*K45*B45</f>
        <v>0.8</v>
      </c>
    </row>
    <row r="46" spans="1:12" ht="12.75">
      <c r="A46" t="s">
        <v>153</v>
      </c>
      <c r="B46" s="150">
        <v>1</v>
      </c>
      <c r="C46" t="s">
        <v>154</v>
      </c>
      <c r="D46" s="150">
        <v>4000</v>
      </c>
      <c r="E46">
        <f t="shared" si="4"/>
        <v>4000</v>
      </c>
      <c r="F46" s="76">
        <v>10</v>
      </c>
      <c r="G46" s="100">
        <f t="shared" si="5"/>
        <v>400</v>
      </c>
      <c r="H46" s="100">
        <f>(E46/2)*Gesamtkosten!$C$12%</f>
        <v>60</v>
      </c>
      <c r="I46" s="7"/>
      <c r="J46" s="177">
        <v>0</v>
      </c>
      <c r="K46" s="178">
        <v>0.2</v>
      </c>
      <c r="L46" s="113">
        <f t="shared" si="6"/>
        <v>0</v>
      </c>
    </row>
    <row r="47" spans="1:12" ht="12.75">
      <c r="A47" t="s">
        <v>155</v>
      </c>
      <c r="B47" s="150">
        <v>4</v>
      </c>
      <c r="D47" s="150">
        <v>700</v>
      </c>
      <c r="E47">
        <f t="shared" si="4"/>
        <v>2800</v>
      </c>
      <c r="F47" s="76">
        <v>10</v>
      </c>
      <c r="G47" s="100">
        <f t="shared" si="5"/>
        <v>280</v>
      </c>
      <c r="H47" s="100">
        <f>(E47/2)*Gesamtkosten!$C$12%</f>
        <v>42</v>
      </c>
      <c r="I47" s="7"/>
      <c r="J47" s="177">
        <v>0</v>
      </c>
      <c r="K47" s="178">
        <v>0.1</v>
      </c>
      <c r="L47" s="113">
        <f t="shared" si="6"/>
        <v>0</v>
      </c>
    </row>
    <row r="48" spans="1:12" ht="12.75">
      <c r="A48" t="s">
        <v>156</v>
      </c>
      <c r="B48" s="150">
        <v>1</v>
      </c>
      <c r="C48" t="s">
        <v>157</v>
      </c>
      <c r="D48" s="150">
        <v>3500</v>
      </c>
      <c r="E48">
        <f t="shared" si="4"/>
        <v>3500</v>
      </c>
      <c r="F48" s="76">
        <v>10</v>
      </c>
      <c r="G48" s="100">
        <f t="shared" si="5"/>
        <v>350</v>
      </c>
      <c r="H48" s="100">
        <f>(E48/2)*Gesamtkosten!$C$12%</f>
        <v>52.5</v>
      </c>
      <c r="I48" s="7"/>
      <c r="J48" s="177">
        <v>6.2</v>
      </c>
      <c r="K48" s="178">
        <v>0.1</v>
      </c>
      <c r="L48" s="113">
        <f t="shared" si="6"/>
        <v>0.6200000000000001</v>
      </c>
    </row>
    <row r="49" spans="1:12" ht="12.75">
      <c r="A49" t="s">
        <v>158</v>
      </c>
      <c r="B49" s="150">
        <v>1</v>
      </c>
      <c r="C49" t="s">
        <v>159</v>
      </c>
      <c r="D49" s="150">
        <v>30000</v>
      </c>
      <c r="E49">
        <f t="shared" si="4"/>
        <v>30000</v>
      </c>
      <c r="F49" s="76">
        <v>5</v>
      </c>
      <c r="G49" s="100">
        <f t="shared" si="5"/>
        <v>6000</v>
      </c>
      <c r="H49" s="100">
        <f>(E49/2)*Gesamtkosten!$C$12%</f>
        <v>450</v>
      </c>
      <c r="I49" s="7"/>
      <c r="J49" s="177">
        <v>15</v>
      </c>
      <c r="K49" s="178">
        <v>5</v>
      </c>
      <c r="L49" s="113">
        <f t="shared" si="6"/>
        <v>75</v>
      </c>
    </row>
    <row r="50" spans="1:12" ht="12.75">
      <c r="A50" t="s">
        <v>160</v>
      </c>
      <c r="B50" s="150">
        <v>30</v>
      </c>
      <c r="C50" t="s">
        <v>161</v>
      </c>
      <c r="D50" s="150">
        <v>120</v>
      </c>
      <c r="E50">
        <f t="shared" si="4"/>
        <v>3600</v>
      </c>
      <c r="F50" s="76">
        <v>20</v>
      </c>
      <c r="G50" s="100">
        <f t="shared" si="5"/>
        <v>180</v>
      </c>
      <c r="H50" s="100">
        <f>(E50/2)*Gesamtkosten!$C$12%</f>
        <v>54</v>
      </c>
      <c r="I50" s="7"/>
      <c r="J50" s="177">
        <v>0</v>
      </c>
      <c r="K50" s="178">
        <v>2</v>
      </c>
      <c r="L50" s="113">
        <f t="shared" si="6"/>
        <v>0</v>
      </c>
    </row>
    <row r="51" spans="1:12" ht="12.75">
      <c r="A51" t="s">
        <v>162</v>
      </c>
      <c r="B51" s="150">
        <v>2</v>
      </c>
      <c r="C51">
        <v>4000</v>
      </c>
      <c r="D51" s="150">
        <v>2000</v>
      </c>
      <c r="E51">
        <f t="shared" si="4"/>
        <v>4000</v>
      </c>
      <c r="F51" s="76">
        <v>5</v>
      </c>
      <c r="G51" s="100">
        <f t="shared" si="5"/>
        <v>800</v>
      </c>
      <c r="H51" s="100">
        <f>(E51/2)*Gesamtkosten!$C$12%</f>
        <v>60</v>
      </c>
      <c r="I51" s="7"/>
      <c r="J51" s="177">
        <v>0.05</v>
      </c>
      <c r="K51" s="178">
        <v>1</v>
      </c>
      <c r="L51" s="113">
        <f t="shared" si="6"/>
        <v>0.1</v>
      </c>
    </row>
    <row r="52" spans="1:12" ht="12.75">
      <c r="A52" t="s">
        <v>163</v>
      </c>
      <c r="B52" s="150">
        <v>1</v>
      </c>
      <c r="C52">
        <v>5000</v>
      </c>
      <c r="D52" s="150">
        <v>2500</v>
      </c>
      <c r="E52">
        <f t="shared" si="4"/>
        <v>2500</v>
      </c>
      <c r="F52" s="76">
        <v>8</v>
      </c>
      <c r="G52" s="100">
        <f t="shared" si="5"/>
        <v>312.5</v>
      </c>
      <c r="H52" s="100">
        <f>(E52/2)*Gesamtkosten!$C$12%</f>
        <v>37.5</v>
      </c>
      <c r="I52" s="7"/>
      <c r="J52" s="177">
        <v>0.05</v>
      </c>
      <c r="K52" s="178">
        <v>1</v>
      </c>
      <c r="L52" s="113">
        <f t="shared" si="6"/>
        <v>0.05</v>
      </c>
    </row>
    <row r="53" spans="1:12" ht="12.75">
      <c r="A53" t="s">
        <v>164</v>
      </c>
      <c r="B53" s="150">
        <v>3</v>
      </c>
      <c r="C53" t="s">
        <v>165</v>
      </c>
      <c r="D53" s="150">
        <v>750</v>
      </c>
      <c r="E53">
        <f t="shared" si="4"/>
        <v>2250</v>
      </c>
      <c r="F53" s="76">
        <v>10</v>
      </c>
      <c r="G53" s="100">
        <f t="shared" si="5"/>
        <v>225</v>
      </c>
      <c r="H53" s="100">
        <f>(E53/2)*Gesamtkosten!$C$12%</f>
        <v>33.75</v>
      </c>
      <c r="I53" s="7"/>
      <c r="J53" s="177">
        <v>0.6</v>
      </c>
      <c r="K53" s="178">
        <v>1</v>
      </c>
      <c r="L53" s="113">
        <f t="shared" si="6"/>
        <v>1.7999999999999998</v>
      </c>
    </row>
    <row r="54" spans="1:12" ht="12.75">
      <c r="A54" t="s">
        <v>164</v>
      </c>
      <c r="B54" s="150">
        <v>4</v>
      </c>
      <c r="C54" t="s">
        <v>166</v>
      </c>
      <c r="D54" s="150">
        <v>950</v>
      </c>
      <c r="E54">
        <f t="shared" si="4"/>
        <v>3800</v>
      </c>
      <c r="F54" s="76">
        <v>10</v>
      </c>
      <c r="G54" s="100">
        <f t="shared" si="5"/>
        <v>380</v>
      </c>
      <c r="H54" s="100">
        <f>(E54/2)*Gesamtkosten!$C$12%</f>
        <v>57</v>
      </c>
      <c r="I54" s="7"/>
      <c r="J54" s="177">
        <v>0.9</v>
      </c>
      <c r="K54" s="178">
        <v>0.5</v>
      </c>
      <c r="L54" s="113">
        <f t="shared" si="6"/>
        <v>1.8</v>
      </c>
    </row>
    <row r="55" spans="1:12" ht="12.75">
      <c r="A55" t="s">
        <v>167</v>
      </c>
      <c r="B55" s="150">
        <v>1</v>
      </c>
      <c r="D55" s="150">
        <v>3000</v>
      </c>
      <c r="E55">
        <f>B55*D55</f>
        <v>3000</v>
      </c>
      <c r="F55" s="76">
        <v>15</v>
      </c>
      <c r="G55" s="100">
        <f>E55/F55</f>
        <v>200</v>
      </c>
      <c r="H55" s="100">
        <f>(E55/2)*Gesamtkosten!$C$12%</f>
        <v>45</v>
      </c>
      <c r="I55" s="7"/>
      <c r="J55" s="177">
        <v>0.9</v>
      </c>
      <c r="K55" s="178">
        <v>0.2</v>
      </c>
      <c r="L55" s="113">
        <f t="shared" si="6"/>
        <v>0.18000000000000002</v>
      </c>
    </row>
    <row r="56" spans="1:12" ht="12.75">
      <c r="A56" t="s">
        <v>168</v>
      </c>
      <c r="B56" s="150">
        <v>1</v>
      </c>
      <c r="C56" t="s">
        <v>169</v>
      </c>
      <c r="D56" s="150">
        <v>47000</v>
      </c>
      <c r="E56">
        <f>B56*D56</f>
        <v>47000</v>
      </c>
      <c r="F56" s="76">
        <v>10</v>
      </c>
      <c r="G56" s="100">
        <f>E56/F56</f>
        <v>4700</v>
      </c>
      <c r="H56" s="100">
        <f>(E56/2)*Gesamtkosten!$C$12%</f>
        <v>705</v>
      </c>
      <c r="I56" s="7"/>
      <c r="J56" s="177">
        <v>8.1</v>
      </c>
      <c r="K56" s="178">
        <v>0.5</v>
      </c>
      <c r="L56" s="113">
        <f t="shared" si="6"/>
        <v>4.05</v>
      </c>
    </row>
    <row r="57" spans="1:12" ht="12.75">
      <c r="A57" t="s">
        <v>170</v>
      </c>
      <c r="B57" s="150">
        <v>2</v>
      </c>
      <c r="C57" t="s">
        <v>74</v>
      </c>
      <c r="D57" s="150">
        <v>1500</v>
      </c>
      <c r="E57">
        <f>B57*D57</f>
        <v>3000</v>
      </c>
      <c r="F57" s="76">
        <v>10</v>
      </c>
      <c r="G57" s="100">
        <f>E57/F57</f>
        <v>300</v>
      </c>
      <c r="H57" s="100">
        <f>(E57/2)*Gesamtkosten!$C$12%</f>
        <v>45</v>
      </c>
      <c r="I57" s="7"/>
      <c r="J57" s="177">
        <v>0.3</v>
      </c>
      <c r="K57" s="178">
        <v>0.2</v>
      </c>
      <c r="L57" s="113">
        <f>J57*K57*B57</f>
        <v>0.12</v>
      </c>
    </row>
    <row r="58" spans="1:12" ht="13.5" thickBot="1">
      <c r="A58" t="s">
        <v>171</v>
      </c>
      <c r="B58" s="150">
        <v>1</v>
      </c>
      <c r="C58" t="s">
        <v>172</v>
      </c>
      <c r="D58" s="150">
        <v>11500</v>
      </c>
      <c r="E58">
        <f>B58*D58</f>
        <v>11500</v>
      </c>
      <c r="F58" s="152">
        <v>15</v>
      </c>
      <c r="G58" s="96">
        <f>E58/F58</f>
        <v>766.6666666666666</v>
      </c>
      <c r="H58" s="96">
        <f>(E58/2)*Gesamtkosten!$C$12%</f>
        <v>172.5</v>
      </c>
      <c r="I58" s="9"/>
      <c r="J58" s="179">
        <v>1.5</v>
      </c>
      <c r="K58" s="180">
        <v>0.5</v>
      </c>
      <c r="L58" s="113">
        <f>J58*K58*B58</f>
        <v>0.75</v>
      </c>
    </row>
    <row r="59" spans="1:12" ht="13.5" thickBot="1">
      <c r="A59" s="85" t="s">
        <v>91</v>
      </c>
      <c r="B59" s="5"/>
      <c r="C59" s="5"/>
      <c r="D59" s="5"/>
      <c r="E59" s="5">
        <f>SUM(E17:E58)</f>
        <v>714820</v>
      </c>
      <c r="F59" s="107">
        <f>AVERAGE(F17:F58)</f>
        <v>11.928571428571429</v>
      </c>
      <c r="G59" s="18">
        <f>SUM(G17:G58)</f>
        <v>60170.416666666664</v>
      </c>
      <c r="H59" s="106">
        <f>SUM(H17:H58)</f>
        <v>10722.3</v>
      </c>
      <c r="I59" s="101"/>
      <c r="J59" s="106">
        <f>SUM(J17:J58)</f>
        <v>132.5</v>
      </c>
      <c r="K59" s="106">
        <f>SUM(K17:K58)</f>
        <v>44.300000000000004</v>
      </c>
      <c r="L59" s="106">
        <f>SUM(L17:L58)</f>
        <v>222.33000000000007</v>
      </c>
    </row>
    <row r="60" spans="7:8" ht="13.5" thickBot="1">
      <c r="G60" t="s">
        <v>173</v>
      </c>
      <c r="H60" s="92">
        <f>G59+H59</f>
        <v>70892.71666666666</v>
      </c>
    </row>
    <row r="61" spans="3:8" ht="13.5" thickBot="1">
      <c r="C61" s="129" t="s">
        <v>215</v>
      </c>
      <c r="D61" s="149">
        <f>H60/Gesamtkosten!C11*1000</f>
        <v>281.3203042328042</v>
      </c>
      <c r="E61" s="5"/>
      <c r="F61" s="5"/>
      <c r="G61" s="130" t="s">
        <v>216</v>
      </c>
      <c r="H61" s="146">
        <f>H60/Gesamtkosten!C11</f>
        <v>0.2813203042328042</v>
      </c>
    </row>
    <row r="62" ht="12.75">
      <c r="H62" s="92"/>
    </row>
  </sheetData>
  <printOptions/>
  <pageMargins left="0.75" right="0.75" top="1" bottom="1" header="0.4921259845" footer="0.4921259845"/>
  <pageSetup fitToHeight="1" fitToWidth="1" horizontalDpi="300" verticalDpi="300" orientation="portrait" paperSize="9" scale="66" r:id="rId3"/>
  <headerFooter alignWithMargins="0">
    <oddFooter>&amp;L&amp;F &amp;D&amp;C&amp;A &amp;P&amp;RWBI-Freiburg Ref.31 Huber G.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D46" sqref="D46"/>
    </sheetView>
  </sheetViews>
  <sheetFormatPr defaultColWidth="11.421875" defaultRowHeight="12.75"/>
  <cols>
    <col min="1" max="1" width="21.57421875" style="0" customWidth="1"/>
  </cols>
  <sheetData>
    <row r="1" ht="16.5" thickBot="1">
      <c r="A1" s="108" t="s">
        <v>174</v>
      </c>
    </row>
    <row r="2" spans="1:5" ht="12.75">
      <c r="A2" s="1" t="s">
        <v>175</v>
      </c>
      <c r="B2" s="26"/>
      <c r="C2" s="26"/>
      <c r="D2" s="26"/>
      <c r="E2" s="103" t="s">
        <v>27</v>
      </c>
    </row>
    <row r="3" spans="1:5" ht="12.75">
      <c r="A3" s="2"/>
      <c r="B3" s="37"/>
      <c r="C3" s="105" t="s">
        <v>118</v>
      </c>
      <c r="D3" s="105" t="s">
        <v>176</v>
      </c>
      <c r="E3" s="91">
        <v>1333</v>
      </c>
    </row>
    <row r="4" spans="1:5" ht="13.5" thickBot="1">
      <c r="A4" s="3" t="s">
        <v>177</v>
      </c>
      <c r="B4" s="33"/>
      <c r="C4" s="28" t="s">
        <v>213</v>
      </c>
      <c r="D4" s="28"/>
      <c r="E4" s="104" t="s">
        <v>219</v>
      </c>
    </row>
    <row r="5" spans="1:5" ht="12.75">
      <c r="A5" s="1" t="s">
        <v>178</v>
      </c>
      <c r="B5" s="26"/>
      <c r="C5" s="190">
        <v>0.21</v>
      </c>
      <c r="D5" s="26">
        <f>E$3</f>
        <v>1333</v>
      </c>
      <c r="E5" s="82">
        <f>D5*C5</f>
        <v>279.93</v>
      </c>
    </row>
    <row r="6" spans="1:5" ht="12.75">
      <c r="A6" s="2" t="s">
        <v>179</v>
      </c>
      <c r="B6" s="37"/>
      <c r="C6" s="189">
        <v>0.2</v>
      </c>
      <c r="D6" s="37">
        <f>E$3</f>
        <v>1333</v>
      </c>
      <c r="E6" s="83">
        <f aca="true" t="shared" si="0" ref="E6:E12">D6*C6</f>
        <v>266.6</v>
      </c>
    </row>
    <row r="7" spans="1:5" ht="12.75">
      <c r="A7" s="2" t="s">
        <v>180</v>
      </c>
      <c r="B7" s="37"/>
      <c r="C7" s="189">
        <v>0.015</v>
      </c>
      <c r="D7" s="37">
        <f>E$3</f>
        <v>1333</v>
      </c>
      <c r="E7" s="83">
        <f t="shared" si="0"/>
        <v>19.995</v>
      </c>
    </row>
    <row r="8" spans="1:5" ht="12.75">
      <c r="A8" s="2" t="s">
        <v>181</v>
      </c>
      <c r="B8" s="37"/>
      <c r="C8" s="189">
        <v>0.06</v>
      </c>
      <c r="D8" s="37">
        <f>E$3</f>
        <v>1333</v>
      </c>
      <c r="E8" s="83">
        <f t="shared" si="0"/>
        <v>79.98</v>
      </c>
    </row>
    <row r="9" spans="1:5" ht="12.75">
      <c r="A9" s="2" t="s">
        <v>182</v>
      </c>
      <c r="B9" s="37"/>
      <c r="C9" s="189">
        <v>0.02</v>
      </c>
      <c r="D9" s="37">
        <f>E$3</f>
        <v>1333</v>
      </c>
      <c r="E9" s="83">
        <f t="shared" si="0"/>
        <v>26.66</v>
      </c>
    </row>
    <row r="10" spans="1:5" ht="12.75">
      <c r="A10" s="2" t="s">
        <v>183</v>
      </c>
      <c r="B10" s="37"/>
      <c r="C10" s="189"/>
      <c r="D10" s="37"/>
      <c r="E10" s="188">
        <v>5</v>
      </c>
    </row>
    <row r="11" spans="1:5" ht="12.75">
      <c r="A11" s="2" t="s">
        <v>184</v>
      </c>
      <c r="B11" s="37" t="s">
        <v>185</v>
      </c>
      <c r="C11" s="189">
        <v>0.06</v>
      </c>
      <c r="D11" s="102">
        <f>E$3/20</f>
        <v>66.65</v>
      </c>
      <c r="E11" s="83">
        <f t="shared" si="0"/>
        <v>3.999</v>
      </c>
    </row>
    <row r="12" spans="1:5" ht="13.5" thickBot="1">
      <c r="A12" s="3" t="s">
        <v>186</v>
      </c>
      <c r="B12" s="33" t="s">
        <v>187</v>
      </c>
      <c r="C12" s="191">
        <v>0.25</v>
      </c>
      <c r="D12" s="41">
        <f>E$3/6</f>
        <v>222.16666666666666</v>
      </c>
      <c r="E12" s="84">
        <f t="shared" si="0"/>
        <v>55.541666666666664</v>
      </c>
    </row>
    <row r="13" spans="1:5" ht="13.5" thickBot="1">
      <c r="A13" s="85" t="s">
        <v>91</v>
      </c>
      <c r="B13" s="147" t="s">
        <v>188</v>
      </c>
      <c r="C13" s="144">
        <f>E13/E3</f>
        <v>0.5534176044011002</v>
      </c>
      <c r="D13" s="5"/>
      <c r="E13" s="145">
        <f>SUM(E5:E12)</f>
        <v>737.7056666666666</v>
      </c>
    </row>
    <row r="14" spans="2:3" ht="13.5" thickBot="1">
      <c r="B14" s="148" t="s">
        <v>189</v>
      </c>
      <c r="C14" s="144">
        <f>E13/1000</f>
        <v>0.7377056666666666</v>
      </c>
    </row>
    <row r="15" spans="1:5" ht="13.5" thickBot="1">
      <c r="A15" s="85" t="s">
        <v>190</v>
      </c>
      <c r="B15" s="5" t="s">
        <v>191</v>
      </c>
      <c r="C15" s="5" t="s">
        <v>205</v>
      </c>
      <c r="D15" s="5"/>
      <c r="E15" s="16" t="s">
        <v>219</v>
      </c>
    </row>
    <row r="16" spans="1:5" ht="12.75">
      <c r="A16" s="1" t="s">
        <v>192</v>
      </c>
      <c r="B16" s="162"/>
      <c r="C16" s="190"/>
      <c r="D16" s="213">
        <f>SUM(D17:D22)</f>
        <v>29.009999999999998</v>
      </c>
      <c r="E16" s="193">
        <f>D16</f>
        <v>29.009999999999998</v>
      </c>
    </row>
    <row r="17" spans="1:5" ht="12.75">
      <c r="A17" s="2" t="s">
        <v>244</v>
      </c>
      <c r="B17" s="189">
        <v>0.3</v>
      </c>
      <c r="C17" s="212">
        <v>60</v>
      </c>
      <c r="D17" s="212">
        <f aca="true" t="shared" si="1" ref="D17:D24">B17*C17</f>
        <v>18</v>
      </c>
      <c r="E17" s="188"/>
    </row>
    <row r="18" spans="1:5" ht="12.75">
      <c r="A18" s="2" t="s">
        <v>193</v>
      </c>
      <c r="B18" s="189">
        <v>0.1</v>
      </c>
      <c r="C18" s="212">
        <v>7.9</v>
      </c>
      <c r="D18" s="212">
        <f t="shared" si="1"/>
        <v>0.79</v>
      </c>
      <c r="E18" s="188"/>
    </row>
    <row r="19" spans="1:5" ht="12.75">
      <c r="A19" s="2" t="s">
        <v>194</v>
      </c>
      <c r="B19" s="189">
        <v>0.5</v>
      </c>
      <c r="C19" s="212">
        <v>4.45</v>
      </c>
      <c r="D19" s="212">
        <f t="shared" si="1"/>
        <v>2.225</v>
      </c>
      <c r="E19" s="188"/>
    </row>
    <row r="20" spans="1:5" ht="12.75">
      <c r="A20" s="2" t="s">
        <v>195</v>
      </c>
      <c r="B20" s="189">
        <v>1</v>
      </c>
      <c r="C20" s="212">
        <v>5.08</v>
      </c>
      <c r="D20" s="212">
        <f t="shared" si="1"/>
        <v>5.08</v>
      </c>
      <c r="E20" s="188"/>
    </row>
    <row r="21" spans="1:5" ht="12" customHeight="1">
      <c r="A21" s="2" t="s">
        <v>196</v>
      </c>
      <c r="B21" s="189">
        <v>1.5</v>
      </c>
      <c r="C21" s="212">
        <v>1.67</v>
      </c>
      <c r="D21" s="212">
        <f t="shared" si="1"/>
        <v>2.505</v>
      </c>
      <c r="E21" s="188"/>
    </row>
    <row r="22" spans="1:5" ht="12" customHeight="1">
      <c r="A22" s="2" t="s">
        <v>243</v>
      </c>
      <c r="B22" s="189">
        <v>0.01</v>
      </c>
      <c r="C22" s="212">
        <v>41</v>
      </c>
      <c r="D22" s="212">
        <f t="shared" si="1"/>
        <v>0.41000000000000003</v>
      </c>
      <c r="E22" s="188"/>
    </row>
    <row r="23" spans="1:5" ht="12.75">
      <c r="A23" s="2" t="s">
        <v>245</v>
      </c>
      <c r="B23" s="161">
        <v>25</v>
      </c>
      <c r="C23" s="212">
        <v>1.79</v>
      </c>
      <c r="D23" s="212">
        <f t="shared" si="1"/>
        <v>44.75</v>
      </c>
      <c r="E23" s="188">
        <f>D23+D24</f>
        <v>53.75</v>
      </c>
    </row>
    <row r="24" spans="1:5" ht="12.75">
      <c r="A24" s="2" t="s">
        <v>246</v>
      </c>
      <c r="B24" s="161">
        <v>3</v>
      </c>
      <c r="C24" s="212">
        <v>3</v>
      </c>
      <c r="D24" s="212">
        <f t="shared" si="1"/>
        <v>9</v>
      </c>
      <c r="E24" s="188"/>
    </row>
    <row r="25" spans="1:5" ht="12.75">
      <c r="A25" s="2" t="s">
        <v>197</v>
      </c>
      <c r="B25" s="161"/>
      <c r="C25" s="212"/>
      <c r="D25" s="161"/>
      <c r="E25" s="188">
        <v>6.9</v>
      </c>
    </row>
    <row r="26" spans="1:5" ht="12.75">
      <c r="A26" s="2" t="s">
        <v>198</v>
      </c>
      <c r="B26" s="161">
        <v>52</v>
      </c>
      <c r="C26" s="212">
        <v>0.92</v>
      </c>
      <c r="D26" s="161"/>
      <c r="E26" s="188"/>
    </row>
    <row r="27" spans="1:5" ht="12.75">
      <c r="A27" s="2" t="s">
        <v>199</v>
      </c>
      <c r="B27" s="161"/>
      <c r="C27" s="189"/>
      <c r="D27" s="161"/>
      <c r="E27" s="188">
        <v>1.6</v>
      </c>
    </row>
    <row r="28" spans="1:5" ht="12.75">
      <c r="A28" s="2" t="s">
        <v>200</v>
      </c>
      <c r="B28" s="161"/>
      <c r="C28" s="189"/>
      <c r="D28" s="161"/>
      <c r="E28" s="188">
        <v>32</v>
      </c>
    </row>
    <row r="29" spans="1:5" ht="12.75">
      <c r="A29" s="2" t="s">
        <v>201</v>
      </c>
      <c r="B29" s="161"/>
      <c r="C29" s="189"/>
      <c r="D29" s="161"/>
      <c r="E29" s="188">
        <v>26</v>
      </c>
    </row>
    <row r="30" spans="1:5" ht="13.5" thickBot="1">
      <c r="A30" s="2" t="s">
        <v>202</v>
      </c>
      <c r="B30" s="161"/>
      <c r="C30" s="189"/>
      <c r="D30" s="161"/>
      <c r="E30" s="188">
        <v>26</v>
      </c>
    </row>
    <row r="31" spans="1:5" ht="13.5" thickBot="1">
      <c r="A31" s="85" t="s">
        <v>203</v>
      </c>
      <c r="B31" s="5"/>
      <c r="C31" s="121"/>
      <c r="D31" s="5"/>
      <c r="E31" s="81">
        <f>Kapital!L59</f>
        <v>222.33000000000007</v>
      </c>
    </row>
    <row r="32" spans="1:5" ht="13.5" thickBot="1">
      <c r="A32" s="85" t="s">
        <v>91</v>
      </c>
      <c r="B32" s="5"/>
      <c r="C32" s="5"/>
      <c r="D32" s="5"/>
      <c r="E32" s="146">
        <f>SUM(E16:E31)</f>
        <v>397.59000000000003</v>
      </c>
    </row>
    <row r="33" ht="13.5" thickBot="1"/>
    <row r="34" spans="1:5" ht="12.75">
      <c r="A34" s="1" t="s">
        <v>175</v>
      </c>
      <c r="B34" s="26"/>
      <c r="C34" s="26"/>
      <c r="D34" s="26"/>
      <c r="E34" s="103" t="s">
        <v>204</v>
      </c>
    </row>
    <row r="35" spans="1:5" ht="12.75">
      <c r="A35" s="2"/>
      <c r="B35" s="37"/>
      <c r="C35" s="105" t="s">
        <v>118</v>
      </c>
      <c r="D35" s="105" t="s">
        <v>176</v>
      </c>
      <c r="E35" s="91">
        <v>1000</v>
      </c>
    </row>
    <row r="36" spans="1:5" ht="13.5" thickBot="1">
      <c r="A36" s="3" t="s">
        <v>177</v>
      </c>
      <c r="B36" s="33"/>
      <c r="C36" s="28" t="s">
        <v>213</v>
      </c>
      <c r="D36" s="28"/>
      <c r="E36" s="104" t="s">
        <v>219</v>
      </c>
    </row>
    <row r="37" spans="1:5" ht="12.75">
      <c r="A37" s="1" t="s">
        <v>178</v>
      </c>
      <c r="B37" s="26"/>
      <c r="C37" s="190">
        <v>0.21</v>
      </c>
      <c r="D37" s="26">
        <f>E$35</f>
        <v>1000</v>
      </c>
      <c r="E37" s="82">
        <f>D37*C37</f>
        <v>210</v>
      </c>
    </row>
    <row r="38" spans="1:5" ht="12.75">
      <c r="A38" s="2" t="s">
        <v>179</v>
      </c>
      <c r="B38" s="37"/>
      <c r="C38" s="189">
        <v>0.15</v>
      </c>
      <c r="D38" s="37">
        <f>E$35</f>
        <v>1000</v>
      </c>
      <c r="E38" s="83">
        <f aca="true" t="shared" si="2" ref="E38:E44">D38*C38</f>
        <v>150</v>
      </c>
    </row>
    <row r="39" spans="1:5" ht="12.75">
      <c r="A39" s="2" t="s">
        <v>180</v>
      </c>
      <c r="B39" s="37"/>
      <c r="C39" s="189">
        <v>0.017</v>
      </c>
      <c r="D39" s="37">
        <f>E$35</f>
        <v>1000</v>
      </c>
      <c r="E39" s="83">
        <f t="shared" si="2"/>
        <v>17</v>
      </c>
    </row>
    <row r="40" spans="1:5" ht="12.75">
      <c r="A40" s="2" t="s">
        <v>181</v>
      </c>
      <c r="B40" s="37"/>
      <c r="C40" s="189">
        <v>0.038</v>
      </c>
      <c r="D40" s="37">
        <f>E$35</f>
        <v>1000</v>
      </c>
      <c r="E40" s="83">
        <f t="shared" si="2"/>
        <v>38</v>
      </c>
    </row>
    <row r="41" spans="1:5" ht="12.75">
      <c r="A41" s="2" t="s">
        <v>182</v>
      </c>
      <c r="B41" s="37"/>
      <c r="C41" s="189">
        <v>0.018</v>
      </c>
      <c r="D41" s="37">
        <f>E$35</f>
        <v>1000</v>
      </c>
      <c r="E41" s="83">
        <f t="shared" si="2"/>
        <v>18</v>
      </c>
    </row>
    <row r="42" spans="1:5" ht="12.75">
      <c r="A42" s="2" t="s">
        <v>183</v>
      </c>
      <c r="B42" s="37"/>
      <c r="C42" s="189"/>
      <c r="D42" s="37"/>
      <c r="E42" s="188">
        <v>5</v>
      </c>
    </row>
    <row r="43" spans="1:5" ht="12.75">
      <c r="A43" s="2" t="s">
        <v>184</v>
      </c>
      <c r="B43" s="37" t="s">
        <v>185</v>
      </c>
      <c r="C43" s="189">
        <v>0.1</v>
      </c>
      <c r="D43" s="37">
        <f>E$35/20</f>
        <v>50</v>
      </c>
      <c r="E43" s="83">
        <f t="shared" si="2"/>
        <v>5</v>
      </c>
    </row>
    <row r="44" spans="1:5" ht="13.5" thickBot="1">
      <c r="A44" s="3" t="s">
        <v>186</v>
      </c>
      <c r="B44" s="33" t="s">
        <v>187</v>
      </c>
      <c r="C44" s="191">
        <v>0.25</v>
      </c>
      <c r="D44" s="102">
        <f>E$35/6</f>
        <v>166.66666666666666</v>
      </c>
      <c r="E44" s="84">
        <f t="shared" si="2"/>
        <v>41.666666666666664</v>
      </c>
    </row>
    <row r="45" spans="1:5" ht="13.5" thickBot="1">
      <c r="A45" s="85" t="s">
        <v>91</v>
      </c>
      <c r="B45" s="141" t="s">
        <v>188</v>
      </c>
      <c r="C45" s="142">
        <f>E45/E35</f>
        <v>0.4846666666666667</v>
      </c>
      <c r="D45" s="5"/>
      <c r="E45" s="145">
        <f>SUM(E37:E44)</f>
        <v>484.6666666666667</v>
      </c>
    </row>
    <row r="46" spans="2:3" ht="13.5" thickBot="1">
      <c r="B46" s="143" t="s">
        <v>189</v>
      </c>
      <c r="C46" s="144">
        <f>E45/1000</f>
        <v>0.4846666666666667</v>
      </c>
    </row>
    <row r="47" ht="12.75">
      <c r="C47" s="120"/>
    </row>
    <row r="48" ht="12.75">
      <c r="C48" s="37"/>
    </row>
  </sheetData>
  <printOptions/>
  <pageMargins left="0.75" right="0.75" top="1" bottom="1" header="0.4921259845" footer="0.4921259845"/>
  <pageSetup fitToHeight="1" fitToWidth="1" horizontalDpi="300" verticalDpi="300" orientation="portrait" paperSize="9" r:id="rId3"/>
  <headerFooter alignWithMargins="0">
    <oddFooter>&amp;L&amp;F &amp;D&amp;C&amp;A &amp;P&amp;RWBI-Freiburg Ref.31 Huber G.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Staatl. Weinbauinstitut Freiburg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 je l Wein</dc:title>
  <dc:subject>Betriebswirtschaft - Kalkulationsunterlagen</dc:subject>
  <dc:creator>Huber G.</dc:creator>
  <cp:keywords>Kosten, Weinausbau, Keller, Kalkulation, </cp:keywords>
  <dc:description>Kalkulationunterlage zur Berrechnung von 1 l Wein,
nur rote Zahlen sind  veränderbar und auf ihr Wert zu prüfen,</dc:description>
  <cp:lastModifiedBy>HuberG</cp:lastModifiedBy>
  <cp:lastPrinted>2013-09-12T12:25:40Z</cp:lastPrinted>
  <dcterms:created xsi:type="dcterms:W3CDTF">1999-05-28T08:51:32Z</dcterms:created>
  <dcterms:modified xsi:type="dcterms:W3CDTF">2013-09-12T12:26:01Z</dcterms:modified>
  <cp:category/>
  <cp:version/>
  <cp:contentType/>
  <cp:contentStatus/>
</cp:coreProperties>
</file>